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5.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6.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T:\ACJ\DEVELOPPEMENT\FICHES Thématiques\Fiches Publiées\Comment rémunérer vos chef de choeur\"/>
    </mc:Choice>
  </mc:AlternateContent>
  <xr:revisionPtr revIDLastSave="0" documentId="13_ncr:1_{8BDC00EA-3C19-4B57-97DA-02EDDF231BA9}" xr6:coauthVersionLast="47" xr6:coauthVersionMax="47" xr10:uidLastSave="{00000000-0000-0000-0000-000000000000}"/>
  <bookViews>
    <workbookView xWindow="28680" yWindow="-120" windowWidth="29040" windowHeight="15840" firstSheet="1" activeTab="6" xr2:uid="{1D1970D1-EB37-491C-A7F6-3A8A7D20BC7E}"/>
  </bookViews>
  <sheets>
    <sheet name="Paramètres" sheetId="5" r:id="rId1"/>
    <sheet name="Non Cadre Tps plein Tps partiel" sheetId="1" r:id="rId2"/>
    <sheet name="Cadre en heures" sheetId="8" r:id="rId3"/>
    <sheet name="Cadre Forfait jours Tps Plein" sheetId="11" r:id="rId4"/>
    <sheet name="Cadre Forfait jours Réduit" sheetId="12" r:id="rId5"/>
    <sheet name="CDI Intermittent" sheetId="13" r:id="rId6"/>
    <sheet name="ATPROF" sheetId="15" r:id="rId7"/>
  </sheets>
  <definedNames>
    <definedName name="Paramètre_T_coef_fillon___50_ETP">Paramètres!$C$10</definedName>
    <definedName name="Paramètre_T_coeff_fillon_50_et">Paramètres!$C$11</definedName>
    <definedName name="PMSS">Paramètres!$C$6</definedName>
    <definedName name="Smic_horaire">Paramètres!$C$5</definedName>
    <definedName name="tranche_1_taxe_salaire">Paramètres!$D$15</definedName>
    <definedName name="tranche_2_taxe_salaire">Paramètres!$F$15</definedName>
    <definedName name="Valeur_de_point_V1">Paramètres!$C$7</definedName>
    <definedName name="Valeur_de_point_V2">Paramètres!$C$8</definedName>
    <definedName name="_xlnm.Print_Area" localSheetId="6">ATPROF!$A$1:$N$22</definedName>
    <definedName name="_xlnm.Print_Area" localSheetId="2">'Cadre en heures'!$A$1:$N$22</definedName>
    <definedName name="_xlnm.Print_Area" localSheetId="4">'Cadre Forfait jours Réduit'!$A$1:$N$20</definedName>
    <definedName name="_xlnm.Print_Area" localSheetId="3">'Cadre Forfait jours Tps Plein'!$A$1:$N$20</definedName>
    <definedName name="_xlnm.Print_Area" localSheetId="5">'CDI Intermittent'!$A$1:$N$21</definedName>
    <definedName name="_xlnm.Print_Area" localSheetId="1">'Non Cadre Tps plein Tps partiel'!$A$1:$N$22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5" l="1"/>
  <c r="D29" i="15"/>
  <c r="E29" i="15"/>
  <c r="F29" i="15"/>
  <c r="G29" i="15"/>
  <c r="D10" i="15"/>
  <c r="J8" i="15" s="1"/>
  <c r="M54" i="13"/>
  <c r="M55" i="12"/>
  <c r="M55" i="11"/>
  <c r="C18" i="8"/>
  <c r="M55" i="1"/>
  <c r="C18" i="1"/>
  <c r="F28" i="13"/>
  <c r="D28" i="13"/>
  <c r="F28" i="12"/>
  <c r="D28" i="12"/>
  <c r="F28" i="11"/>
  <c r="D28" i="11"/>
  <c r="F30" i="8"/>
  <c r="D30" i="8"/>
  <c r="F29" i="1"/>
  <c r="D29" i="1"/>
  <c r="E58" i="1"/>
  <c r="C16" i="15"/>
  <c r="C11" i="5"/>
  <c r="C10" i="5"/>
  <c r="D27" i="15"/>
  <c r="D26" i="13"/>
  <c r="D25" i="12"/>
  <c r="D25" i="11"/>
  <c r="D27" i="8"/>
  <c r="D27" i="1"/>
  <c r="C13" i="15"/>
  <c r="C11" i="13"/>
  <c r="C11" i="12"/>
  <c r="C11" i="11"/>
  <c r="C11" i="8"/>
  <c r="C11" i="1"/>
  <c r="L19" i="8"/>
  <c r="L19" i="1"/>
  <c r="L17" i="11"/>
  <c r="L17" i="12"/>
  <c r="L18" i="13"/>
  <c r="L19" i="15"/>
  <c r="J9" i="15" l="1"/>
  <c r="C70" i="15"/>
  <c r="C69" i="15"/>
  <c r="G59" i="15"/>
  <c r="E59" i="15"/>
  <c r="F50" i="15"/>
  <c r="F47" i="15"/>
  <c r="F46" i="15"/>
  <c r="C45" i="15"/>
  <c r="G45" i="15" s="1"/>
  <c r="F43" i="15"/>
  <c r="C41" i="15"/>
  <c r="G41" i="15" s="1"/>
  <c r="C12" i="15"/>
  <c r="F18" i="15" s="1"/>
  <c r="C11" i="15"/>
  <c r="F16" i="15" s="1"/>
  <c r="C14" i="15"/>
  <c r="J7" i="13"/>
  <c r="C69" i="13" s="1"/>
  <c r="C68" i="13"/>
  <c r="G58" i="13"/>
  <c r="E58" i="13"/>
  <c r="F49" i="13"/>
  <c r="F46" i="13"/>
  <c r="F45" i="13"/>
  <c r="C44" i="13"/>
  <c r="G44" i="13" s="1"/>
  <c r="F42" i="13"/>
  <c r="C40" i="13"/>
  <c r="G40" i="13" s="1"/>
  <c r="C28" i="13"/>
  <c r="C14" i="13"/>
  <c r="C10" i="13"/>
  <c r="F12" i="13" s="1"/>
  <c r="C9" i="13"/>
  <c r="F15" i="13" s="1"/>
  <c r="C12" i="13"/>
  <c r="C69" i="12"/>
  <c r="J12" i="12"/>
  <c r="J13" i="12"/>
  <c r="J14" i="12"/>
  <c r="J15" i="12"/>
  <c r="J16" i="12"/>
  <c r="J18" i="12"/>
  <c r="J11" i="12"/>
  <c r="H12" i="12"/>
  <c r="H13" i="12"/>
  <c r="H14" i="12"/>
  <c r="H15" i="12"/>
  <c r="H16" i="12"/>
  <c r="H18" i="12"/>
  <c r="H11" i="12"/>
  <c r="C68" i="12"/>
  <c r="G59" i="12"/>
  <c r="E59" i="12"/>
  <c r="E58" i="12"/>
  <c r="F50" i="12"/>
  <c r="F47" i="12"/>
  <c r="F46" i="12"/>
  <c r="F43" i="12"/>
  <c r="C28" i="12"/>
  <c r="C14" i="12"/>
  <c r="C10" i="12"/>
  <c r="F18" i="12" s="1"/>
  <c r="L18" i="12" s="1"/>
  <c r="C9" i="12"/>
  <c r="F14" i="12" s="1"/>
  <c r="C12" i="12"/>
  <c r="C68" i="11"/>
  <c r="G59" i="11"/>
  <c r="E59" i="11"/>
  <c r="E58" i="11"/>
  <c r="F50" i="11"/>
  <c r="F47" i="11"/>
  <c r="F46" i="11"/>
  <c r="F43" i="11"/>
  <c r="C28" i="11"/>
  <c r="C14" i="11"/>
  <c r="C10" i="11"/>
  <c r="F18" i="11" s="1"/>
  <c r="L18" i="11" s="1"/>
  <c r="C9" i="11"/>
  <c r="F11" i="11" s="1"/>
  <c r="L11" i="11" s="1"/>
  <c r="C12" i="11"/>
  <c r="F52" i="8"/>
  <c r="F49" i="8"/>
  <c r="F48" i="8"/>
  <c r="F45" i="8"/>
  <c r="F50" i="1"/>
  <c r="F47" i="1"/>
  <c r="F46" i="1"/>
  <c r="F43" i="1"/>
  <c r="C14" i="8"/>
  <c r="C14" i="1"/>
  <c r="H18" i="15" l="1"/>
  <c r="L18" i="15" s="1"/>
  <c r="H20" i="15"/>
  <c r="H14" i="15"/>
  <c r="H15" i="15"/>
  <c r="H16" i="15"/>
  <c r="L16" i="15" s="1"/>
  <c r="H17" i="15"/>
  <c r="H13" i="15"/>
  <c r="E58" i="15"/>
  <c r="M55" i="15" s="1"/>
  <c r="F13" i="15"/>
  <c r="F15" i="15"/>
  <c r="F17" i="15"/>
  <c r="F20" i="15"/>
  <c r="F14" i="15"/>
  <c r="G28" i="12"/>
  <c r="L14" i="12"/>
  <c r="F15" i="12"/>
  <c r="L15" i="12" s="1"/>
  <c r="F16" i="12"/>
  <c r="L16" i="12" s="1"/>
  <c r="F17" i="13"/>
  <c r="G28" i="13"/>
  <c r="H11" i="13"/>
  <c r="L11" i="13" s="1"/>
  <c r="E28" i="13"/>
  <c r="F16" i="13"/>
  <c r="H16" i="13"/>
  <c r="L16" i="13" s="1"/>
  <c r="H17" i="13"/>
  <c r="L17" i="13" s="1"/>
  <c r="H12" i="13"/>
  <c r="L12" i="13" s="1"/>
  <c r="E57" i="13"/>
  <c r="H13" i="13"/>
  <c r="H15" i="13"/>
  <c r="L15" i="13" s="1"/>
  <c r="H19" i="13"/>
  <c r="H14" i="13"/>
  <c r="F11" i="13"/>
  <c r="F13" i="13"/>
  <c r="E28" i="12"/>
  <c r="F19" i="13"/>
  <c r="F14" i="13"/>
  <c r="F11" i="12"/>
  <c r="L11" i="12" s="1"/>
  <c r="F12" i="12"/>
  <c r="L12" i="12" s="1"/>
  <c r="F13" i="12"/>
  <c r="L13" i="12" s="1"/>
  <c r="G28" i="11"/>
  <c r="F15" i="11"/>
  <c r="L15" i="11" s="1"/>
  <c r="F16" i="11"/>
  <c r="L16" i="11" s="1"/>
  <c r="F13" i="11"/>
  <c r="L13" i="11" s="1"/>
  <c r="F14" i="11"/>
  <c r="L14" i="11" s="1"/>
  <c r="F12" i="11"/>
  <c r="L12" i="11" s="1"/>
  <c r="E28" i="11"/>
  <c r="L17" i="15" l="1"/>
  <c r="L19" i="13"/>
  <c r="L13" i="13"/>
  <c r="L14" i="13"/>
  <c r="L13" i="15"/>
  <c r="L15" i="15"/>
  <c r="L20" i="15"/>
  <c r="L14" i="15"/>
  <c r="L19" i="12"/>
  <c r="D64" i="12" s="1"/>
  <c r="L19" i="11"/>
  <c r="D64" i="11" s="1"/>
  <c r="F37" i="11" l="1"/>
  <c r="F25" i="11"/>
  <c r="F25" i="12"/>
  <c r="F37" i="12"/>
  <c r="C49" i="12"/>
  <c r="G49" i="12" s="1"/>
  <c r="L20" i="13"/>
  <c r="D64" i="13" s="1"/>
  <c r="L21" i="15"/>
  <c r="D65" i="15" s="1"/>
  <c r="M52" i="12"/>
  <c r="C41" i="12"/>
  <c r="G41" i="12" s="1"/>
  <c r="C74" i="12"/>
  <c r="C75" i="12"/>
  <c r="C71" i="12"/>
  <c r="C44" i="12"/>
  <c r="G44" i="12" s="1"/>
  <c r="C72" i="12"/>
  <c r="C33" i="12" s="1"/>
  <c r="C47" i="12"/>
  <c r="G47" i="12" s="1"/>
  <c r="C73" i="12"/>
  <c r="C39" i="12" s="1"/>
  <c r="G39" i="12" s="1"/>
  <c r="C37" i="12"/>
  <c r="C70" i="12"/>
  <c r="C26" i="12" s="1"/>
  <c r="E26" i="12" s="1"/>
  <c r="C50" i="12"/>
  <c r="G50" i="12" s="1"/>
  <c r="C56" i="12"/>
  <c r="C31" i="12"/>
  <c r="G31" i="12" s="1"/>
  <c r="C29" i="12"/>
  <c r="G29" i="12" s="1"/>
  <c r="C46" i="12"/>
  <c r="G46" i="12" s="1"/>
  <c r="C25" i="12"/>
  <c r="E25" i="12" s="1"/>
  <c r="C77" i="12"/>
  <c r="F56" i="12" s="1"/>
  <c r="C78" i="12"/>
  <c r="C42" i="12"/>
  <c r="G42" i="12" s="1"/>
  <c r="C70" i="11"/>
  <c r="C30" i="11" s="1"/>
  <c r="M52" i="11"/>
  <c r="C77" i="11"/>
  <c r="F56" i="11" s="1"/>
  <c r="C78" i="11"/>
  <c r="C73" i="11"/>
  <c r="C38" i="11" s="1"/>
  <c r="G38" i="11" s="1"/>
  <c r="C37" i="11"/>
  <c r="C71" i="11"/>
  <c r="C41" i="11"/>
  <c r="G41" i="11" s="1"/>
  <c r="C42" i="11"/>
  <c r="G42" i="11" s="1"/>
  <c r="C56" i="11"/>
  <c r="C74" i="11"/>
  <c r="C49" i="11"/>
  <c r="G49" i="11" s="1"/>
  <c r="C72" i="11"/>
  <c r="C33" i="11" s="1"/>
  <c r="C31" i="11"/>
  <c r="G31" i="11" s="1"/>
  <c r="C50" i="11"/>
  <c r="G50" i="11" s="1"/>
  <c r="C25" i="11"/>
  <c r="E25" i="11" s="1"/>
  <c r="C29" i="11"/>
  <c r="G29" i="11" s="1"/>
  <c r="C44" i="11"/>
  <c r="G44" i="11" s="1"/>
  <c r="C46" i="11"/>
  <c r="G46" i="11" s="1"/>
  <c r="C47" i="11"/>
  <c r="G47" i="11" s="1"/>
  <c r="C75" i="11"/>
  <c r="F38" i="15" l="1"/>
  <c r="F27" i="15"/>
  <c r="F37" i="13"/>
  <c r="F26" i="13"/>
  <c r="M52" i="15"/>
  <c r="C78" i="15"/>
  <c r="F56" i="15" s="1"/>
  <c r="C79" i="15"/>
  <c r="C78" i="13"/>
  <c r="G56" i="12"/>
  <c r="C75" i="13"/>
  <c r="C29" i="13"/>
  <c r="G29" i="13" s="1"/>
  <c r="C45" i="13"/>
  <c r="G45" i="13" s="1"/>
  <c r="C37" i="13"/>
  <c r="C31" i="13"/>
  <c r="E31" i="13" s="1"/>
  <c r="C49" i="13"/>
  <c r="G49" i="13" s="1"/>
  <c r="C48" i="13"/>
  <c r="G48" i="13" s="1"/>
  <c r="C27" i="13"/>
  <c r="C50" i="13" s="1"/>
  <c r="E50" i="13" s="1"/>
  <c r="M51" i="13"/>
  <c r="C55" i="13"/>
  <c r="C71" i="13"/>
  <c r="C74" i="13"/>
  <c r="C70" i="13"/>
  <c r="C36" i="13" s="1"/>
  <c r="E36" i="13" s="1"/>
  <c r="C73" i="13"/>
  <c r="C38" i="13" s="1"/>
  <c r="G38" i="13" s="1"/>
  <c r="C26" i="13"/>
  <c r="E26" i="13" s="1"/>
  <c r="C72" i="13"/>
  <c r="C33" i="13" s="1"/>
  <c r="C43" i="13"/>
  <c r="G43" i="13" s="1"/>
  <c r="C46" i="13"/>
  <c r="G46" i="13" s="1"/>
  <c r="C41" i="13"/>
  <c r="G41" i="13" s="1"/>
  <c r="C77" i="13"/>
  <c r="F55" i="13" s="1"/>
  <c r="C71" i="15"/>
  <c r="C31" i="15" s="1"/>
  <c r="C32" i="15"/>
  <c r="E32" i="15" s="1"/>
  <c r="C73" i="15"/>
  <c r="C36" i="15" s="1"/>
  <c r="C75" i="15"/>
  <c r="C44" i="15"/>
  <c r="G44" i="15" s="1"/>
  <c r="C28" i="15"/>
  <c r="C53" i="15" s="1"/>
  <c r="C55" i="15" s="1"/>
  <c r="G55" i="15" s="1"/>
  <c r="C76" i="15"/>
  <c r="C27" i="15"/>
  <c r="E27" i="15" s="1"/>
  <c r="C74" i="15"/>
  <c r="C40" i="15" s="1"/>
  <c r="G40" i="15" s="1"/>
  <c r="C50" i="15"/>
  <c r="G50" i="15" s="1"/>
  <c r="C49" i="15"/>
  <c r="G49" i="15" s="1"/>
  <c r="C47" i="15"/>
  <c r="G47" i="15" s="1"/>
  <c r="C30" i="15"/>
  <c r="E30" i="15" s="1"/>
  <c r="C46" i="15"/>
  <c r="G46" i="15" s="1"/>
  <c r="C56" i="15"/>
  <c r="C42" i="15"/>
  <c r="G42" i="15" s="1"/>
  <c r="C72" i="15"/>
  <c r="C38" i="15"/>
  <c r="G25" i="12"/>
  <c r="G37" i="12"/>
  <c r="C34" i="12"/>
  <c r="G34" i="12" s="1"/>
  <c r="C32" i="12"/>
  <c r="E32" i="12" s="1"/>
  <c r="E29" i="12"/>
  <c r="G26" i="12"/>
  <c r="C27" i="12"/>
  <c r="C53" i="12" s="1"/>
  <c r="C55" i="12" s="1"/>
  <c r="G55" i="12" s="1"/>
  <c r="C36" i="12"/>
  <c r="G36" i="12" s="1"/>
  <c r="C30" i="12"/>
  <c r="E30" i="12" s="1"/>
  <c r="C43" i="12"/>
  <c r="G43" i="12" s="1"/>
  <c r="E31" i="12"/>
  <c r="C35" i="12"/>
  <c r="G35" i="12" s="1"/>
  <c r="C40" i="12"/>
  <c r="G40" i="12" s="1"/>
  <c r="C38" i="12"/>
  <c r="G38" i="12" s="1"/>
  <c r="G33" i="12"/>
  <c r="E33" i="12"/>
  <c r="C36" i="11"/>
  <c r="E36" i="11" s="1"/>
  <c r="G56" i="11"/>
  <c r="C43" i="11"/>
  <c r="G43" i="11" s="1"/>
  <c r="C35" i="11"/>
  <c r="G35" i="11" s="1"/>
  <c r="C39" i="11"/>
  <c r="G39" i="11" s="1"/>
  <c r="G25" i="11"/>
  <c r="E31" i="11"/>
  <c r="E29" i="11"/>
  <c r="G37" i="11"/>
  <c r="C26" i="11"/>
  <c r="C40" i="11"/>
  <c r="G40" i="11" s="1"/>
  <c r="C27" i="11"/>
  <c r="G27" i="11" s="1"/>
  <c r="C34" i="11"/>
  <c r="G34" i="11" s="1"/>
  <c r="C32" i="11"/>
  <c r="E32" i="11" s="1"/>
  <c r="E33" i="11"/>
  <c r="G33" i="11"/>
  <c r="G30" i="11"/>
  <c r="E30" i="11"/>
  <c r="E28" i="15" l="1"/>
  <c r="C30" i="13"/>
  <c r="E30" i="13" s="1"/>
  <c r="G31" i="13"/>
  <c r="C34" i="15"/>
  <c r="E34" i="15" s="1"/>
  <c r="G37" i="13"/>
  <c r="C32" i="13"/>
  <c r="G32" i="13" s="1"/>
  <c r="C39" i="15"/>
  <c r="G39" i="15" s="1"/>
  <c r="C42" i="13"/>
  <c r="G42" i="13" s="1"/>
  <c r="G30" i="12"/>
  <c r="G36" i="13"/>
  <c r="C51" i="12"/>
  <c r="E51" i="12" s="1"/>
  <c r="G27" i="12"/>
  <c r="E27" i="13"/>
  <c r="C51" i="13"/>
  <c r="E51" i="13" s="1"/>
  <c r="G27" i="13"/>
  <c r="G55" i="13"/>
  <c r="G26" i="13"/>
  <c r="C35" i="13"/>
  <c r="G35" i="13" s="1"/>
  <c r="C34" i="13"/>
  <c r="E34" i="13" s="1"/>
  <c r="C52" i="13"/>
  <c r="C54" i="13" s="1"/>
  <c r="G54" i="13" s="1"/>
  <c r="C39" i="13"/>
  <c r="G39" i="13" s="1"/>
  <c r="E29" i="13"/>
  <c r="G56" i="15"/>
  <c r="C52" i="15"/>
  <c r="E52" i="15" s="1"/>
  <c r="G38" i="15"/>
  <c r="G30" i="15"/>
  <c r="C37" i="15"/>
  <c r="E37" i="15" s="1"/>
  <c r="C43" i="15"/>
  <c r="G43" i="15" s="1"/>
  <c r="C35" i="15"/>
  <c r="E35" i="15" s="1"/>
  <c r="G28" i="15"/>
  <c r="G32" i="15"/>
  <c r="G27" i="15"/>
  <c r="C33" i="15"/>
  <c r="G33" i="15" s="1"/>
  <c r="G53" i="15"/>
  <c r="C51" i="15"/>
  <c r="E51" i="15" s="1"/>
  <c r="C54" i="15"/>
  <c r="G54" i="15" s="1"/>
  <c r="G36" i="15"/>
  <c r="E36" i="15"/>
  <c r="E31" i="15"/>
  <c r="G31" i="15"/>
  <c r="G32" i="12"/>
  <c r="G53" i="12"/>
  <c r="E35" i="12"/>
  <c r="C52" i="12"/>
  <c r="E52" i="12" s="1"/>
  <c r="E36" i="12"/>
  <c r="E27" i="12"/>
  <c r="C45" i="12"/>
  <c r="G45" i="12" s="1"/>
  <c r="E34" i="12"/>
  <c r="C54" i="12"/>
  <c r="G54" i="12" s="1"/>
  <c r="E40" i="12"/>
  <c r="G33" i="13"/>
  <c r="E33" i="13"/>
  <c r="G36" i="11"/>
  <c r="E27" i="11"/>
  <c r="E35" i="11"/>
  <c r="E34" i="11"/>
  <c r="C51" i="11"/>
  <c r="E51" i="11" s="1"/>
  <c r="G32" i="11"/>
  <c r="E40" i="11"/>
  <c r="G26" i="11"/>
  <c r="C45" i="11"/>
  <c r="G45" i="11" s="1"/>
  <c r="E26" i="11"/>
  <c r="C53" i="11"/>
  <c r="C55" i="11" s="1"/>
  <c r="G55" i="11" s="1"/>
  <c r="C52" i="11"/>
  <c r="E52" i="11" s="1"/>
  <c r="G30" i="13" l="1"/>
  <c r="G34" i="15"/>
  <c r="E32" i="13"/>
  <c r="G35" i="15"/>
  <c r="G34" i="13"/>
  <c r="G52" i="13"/>
  <c r="C53" i="13"/>
  <c r="G53" i="13" s="1"/>
  <c r="E35" i="13"/>
  <c r="G37" i="15"/>
  <c r="M49" i="15"/>
  <c r="E33" i="15"/>
  <c r="E57" i="15" s="1"/>
  <c r="E57" i="12"/>
  <c r="C60" i="12" s="1"/>
  <c r="G57" i="12"/>
  <c r="F64" i="12" s="1"/>
  <c r="G64" i="12" s="1"/>
  <c r="M49" i="12"/>
  <c r="G53" i="11"/>
  <c r="E57" i="11"/>
  <c r="C60" i="11" s="1"/>
  <c r="C54" i="11"/>
  <c r="G54" i="11" s="1"/>
  <c r="E65" i="15" l="1"/>
  <c r="C60" i="15"/>
  <c r="E56" i="13"/>
  <c r="C60" i="13" s="1"/>
  <c r="G57" i="15"/>
  <c r="F65" i="15" s="1"/>
  <c r="G65" i="15" s="1"/>
  <c r="M48" i="13"/>
  <c r="G56" i="13"/>
  <c r="F64" i="13" s="1"/>
  <c r="G64" i="13" s="1"/>
  <c r="C61" i="15"/>
  <c r="C61" i="12"/>
  <c r="E64" i="12"/>
  <c r="M53" i="12"/>
  <c r="M58" i="12" s="1"/>
  <c r="E64" i="11"/>
  <c r="C61" i="11"/>
  <c r="G57" i="11"/>
  <c r="F64" i="11" s="1"/>
  <c r="G64" i="11" s="1"/>
  <c r="M49" i="11"/>
  <c r="C71" i="8"/>
  <c r="C70" i="8"/>
  <c r="G61" i="8"/>
  <c r="E61" i="8"/>
  <c r="E60" i="8"/>
  <c r="M57" i="8" s="1"/>
  <c r="C30" i="8"/>
  <c r="H20" i="8"/>
  <c r="H17" i="8"/>
  <c r="H16" i="8"/>
  <c r="H15" i="8"/>
  <c r="H14" i="8"/>
  <c r="H13" i="8"/>
  <c r="H12" i="8"/>
  <c r="H11" i="8"/>
  <c r="C10" i="8"/>
  <c r="F17" i="8" s="1"/>
  <c r="C9" i="8"/>
  <c r="C12" i="8"/>
  <c r="C69" i="1"/>
  <c r="L17" i="8" l="1"/>
  <c r="F14" i="8"/>
  <c r="L14" i="8" s="1"/>
  <c r="F18" i="8"/>
  <c r="E64" i="13"/>
  <c r="C59" i="13"/>
  <c r="M53" i="15"/>
  <c r="M58" i="15" s="1"/>
  <c r="M52" i="13"/>
  <c r="M57" i="13" s="1"/>
  <c r="M53" i="11"/>
  <c r="M58" i="11" s="1"/>
  <c r="E30" i="8"/>
  <c r="G30" i="8"/>
  <c r="F11" i="8"/>
  <c r="L11" i="8" s="1"/>
  <c r="F13" i="8"/>
  <c r="L13" i="8" s="1"/>
  <c r="L18" i="8"/>
  <c r="F15" i="8"/>
  <c r="L15" i="8" s="1"/>
  <c r="F16" i="8"/>
  <c r="L16" i="8" s="1"/>
  <c r="F20" i="8"/>
  <c r="L20" i="8" s="1"/>
  <c r="F12" i="8"/>
  <c r="L12" i="8" s="1"/>
  <c r="L21" i="8" l="1"/>
  <c r="D66" i="8" s="1"/>
  <c r="F39" i="8" l="1"/>
  <c r="F27" i="8"/>
  <c r="C80" i="8"/>
  <c r="C79" i="8"/>
  <c r="C43" i="8"/>
  <c r="G43" i="8" s="1"/>
  <c r="C75" i="8"/>
  <c r="C42" i="8" s="1"/>
  <c r="C72" i="8"/>
  <c r="C77" i="8"/>
  <c r="C49" i="8"/>
  <c r="G49" i="8" s="1"/>
  <c r="C76" i="8"/>
  <c r="C44" i="8"/>
  <c r="G44" i="8" s="1"/>
  <c r="C39" i="8"/>
  <c r="C31" i="8"/>
  <c r="C46" i="8"/>
  <c r="G46" i="8" s="1"/>
  <c r="C48" i="8"/>
  <c r="G48" i="8" s="1"/>
  <c r="C58" i="8"/>
  <c r="M54" i="8"/>
  <c r="C51" i="8"/>
  <c r="G51" i="8" s="1"/>
  <c r="C74" i="8"/>
  <c r="C52" i="8"/>
  <c r="G52" i="8" s="1"/>
  <c r="C33" i="8"/>
  <c r="C27" i="8"/>
  <c r="E27" i="8" s="1"/>
  <c r="C73" i="8"/>
  <c r="F58" i="8" l="1"/>
  <c r="G58" i="8" s="1"/>
  <c r="C38" i="8"/>
  <c r="E38" i="8" s="1"/>
  <c r="C45" i="8"/>
  <c r="G45" i="8" s="1"/>
  <c r="E42" i="8"/>
  <c r="G42" i="8"/>
  <c r="C29" i="8"/>
  <c r="C28" i="8"/>
  <c r="C34" i="8"/>
  <c r="C36" i="8"/>
  <c r="C32" i="8"/>
  <c r="G27" i="8"/>
  <c r="G31" i="8"/>
  <c r="E31" i="8"/>
  <c r="G33" i="8"/>
  <c r="E33" i="8"/>
  <c r="C40" i="8"/>
  <c r="G40" i="8" s="1"/>
  <c r="C41" i="8"/>
  <c r="G41" i="8" s="1"/>
  <c r="G39" i="8"/>
  <c r="C37" i="8"/>
  <c r="C35" i="8"/>
  <c r="C47" i="8" l="1"/>
  <c r="G47" i="8" s="1"/>
  <c r="G38" i="8"/>
  <c r="C53" i="8"/>
  <c r="E53" i="8" s="1"/>
  <c r="C54" i="8"/>
  <c r="E54" i="8" s="1"/>
  <c r="C55" i="8"/>
  <c r="C57" i="8" s="1"/>
  <c r="G57" i="8" s="1"/>
  <c r="E28" i="8"/>
  <c r="G28" i="8"/>
  <c r="E29" i="8"/>
  <c r="G29" i="8"/>
  <c r="E37" i="8"/>
  <c r="G37" i="8"/>
  <c r="E32" i="8"/>
  <c r="G32" i="8"/>
  <c r="G35" i="8"/>
  <c r="E35" i="8"/>
  <c r="G36" i="8"/>
  <c r="E36" i="8"/>
  <c r="E34" i="8"/>
  <c r="G34" i="8"/>
  <c r="C56" i="8" l="1"/>
  <c r="G56" i="8" s="1"/>
  <c r="G55" i="8"/>
  <c r="E59" i="8"/>
  <c r="C62" i="8" s="1"/>
  <c r="E66" i="8" l="1"/>
  <c r="C63" i="8"/>
  <c r="M51" i="8"/>
  <c r="G59" i="8"/>
  <c r="F66" i="8" s="1"/>
  <c r="G66" i="8" s="1"/>
  <c r="M55" i="8" l="1"/>
  <c r="M60" i="8" s="1"/>
  <c r="C29" i="1"/>
  <c r="C10" i="1"/>
  <c r="F20" i="1" s="1"/>
  <c r="C9" i="1"/>
  <c r="F18" i="1" s="1"/>
  <c r="H13" i="1"/>
  <c r="C70" i="1"/>
  <c r="C12" i="1" l="1"/>
  <c r="G29" i="1"/>
  <c r="E29" i="1"/>
  <c r="G59" i="1"/>
  <c r="E59" i="1"/>
  <c r="H20" i="1"/>
  <c r="L20" i="1" s="1"/>
  <c r="L18" i="1"/>
  <c r="H17" i="1"/>
  <c r="F17" i="1"/>
  <c r="L17" i="1" s="1"/>
  <c r="H16" i="1"/>
  <c r="F16" i="1"/>
  <c r="L16" i="1" s="1"/>
  <c r="H15" i="1"/>
  <c r="F15" i="1"/>
  <c r="H14" i="1"/>
  <c r="F14" i="1"/>
  <c r="F13" i="1"/>
  <c r="L13" i="1" s="1"/>
  <c r="H12" i="1"/>
  <c r="F12" i="1"/>
  <c r="H11" i="1"/>
  <c r="F11" i="1"/>
  <c r="L11" i="1" l="1"/>
  <c r="L14" i="1"/>
  <c r="L15" i="1"/>
  <c r="L12" i="1"/>
  <c r="L21" i="1" l="1"/>
  <c r="D65" i="1" s="1"/>
  <c r="F27" i="1" l="1"/>
  <c r="F38" i="1"/>
  <c r="C41" i="1"/>
  <c r="G41" i="1" s="1"/>
  <c r="C78" i="1"/>
  <c r="C79" i="1"/>
  <c r="C74" i="1"/>
  <c r="C40" i="1" s="1"/>
  <c r="G40" i="1" s="1"/>
  <c r="C72" i="1"/>
  <c r="C73" i="1"/>
  <c r="C34" i="1" s="1"/>
  <c r="E34" i="1" s="1"/>
  <c r="C76" i="1"/>
  <c r="C75" i="1"/>
  <c r="C46" i="1"/>
  <c r="G46" i="1" s="1"/>
  <c r="C71" i="1"/>
  <c r="C43" i="1" s="1"/>
  <c r="C50" i="1"/>
  <c r="G50" i="1" s="1"/>
  <c r="C27" i="1"/>
  <c r="E27" i="1" s="1"/>
  <c r="C47" i="1"/>
  <c r="G47" i="1" s="1"/>
  <c r="C56" i="1"/>
  <c r="C44" i="1"/>
  <c r="G44" i="1" s="1"/>
  <c r="C30" i="1"/>
  <c r="M52" i="1"/>
  <c r="C42" i="1"/>
  <c r="G42" i="1" s="1"/>
  <c r="C49" i="1"/>
  <c r="G49" i="1" s="1"/>
  <c r="C32" i="1"/>
  <c r="G32" i="1" s="1"/>
  <c r="C38" i="1"/>
  <c r="C28" i="1"/>
  <c r="C52" i="1" s="1"/>
  <c r="C51" i="1" l="1"/>
  <c r="F56" i="1"/>
  <c r="G56" i="1" s="1"/>
  <c r="C36" i="1"/>
  <c r="E36" i="1" s="1"/>
  <c r="C53" i="1"/>
  <c r="C55" i="1" s="1"/>
  <c r="G55" i="1" s="1"/>
  <c r="C45" i="1"/>
  <c r="G45" i="1" s="1"/>
  <c r="C39" i="1"/>
  <c r="G39" i="1" s="1"/>
  <c r="G43" i="1"/>
  <c r="G38" i="1"/>
  <c r="C37" i="1"/>
  <c r="G37" i="1" s="1"/>
  <c r="E51" i="1"/>
  <c r="E52" i="1"/>
  <c r="C35" i="1"/>
  <c r="G35" i="1" s="1"/>
  <c r="C33" i="1"/>
  <c r="G33" i="1" s="1"/>
  <c r="C31" i="1"/>
  <c r="E31" i="1" s="1"/>
  <c r="G27" i="1"/>
  <c r="E28" i="1"/>
  <c r="E32" i="1"/>
  <c r="G28" i="1"/>
  <c r="G30" i="1"/>
  <c r="E30" i="1"/>
  <c r="G34" i="1"/>
  <c r="G36" i="1" l="1"/>
  <c r="C54" i="1"/>
  <c r="G54" i="1" s="1"/>
  <c r="E33" i="1"/>
  <c r="E37" i="1"/>
  <c r="G31" i="1"/>
  <c r="E35" i="1"/>
  <c r="G53" i="1"/>
  <c r="E57" i="1" l="1"/>
  <c r="C60" i="1" s="1"/>
  <c r="G57" i="1"/>
  <c r="F65" i="1" s="1"/>
  <c r="G65" i="1" s="1"/>
  <c r="M49" i="1"/>
  <c r="E65" i="1" l="1"/>
  <c r="C61" i="1"/>
  <c r="M53" i="1"/>
  <c r="M5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tc={37C5FAD3-1AE6-4B67-977E-50B6A129CC71}</author>
    <author>tc={E61186DF-DC1D-4BD8-BB76-2BCC66E609A9}</author>
    <author>tc={D09AA781-6301-4CA2-ADDE-550F401C8038}</author>
    <author>tc={E1825420-97EF-450C-9619-0C045B27FC86}</author>
    <author>tc={C4690122-5F82-4381-A542-99166E641780}</author>
    <author>tc={3DAEA5E6-A955-4EC4-ADF2-92720F2B2E0B}</author>
    <author>tc={189BEC1D-41E8-41B8-8E3B-96D86D4B42E4}</author>
    <author>tc={861C9B8A-F1C2-4C3F-9C75-E730A0026509}</author>
    <author>tc={DC293F78-2417-42C8-A2D5-6B9041BE4929}</author>
    <author>tc={64ACB197-E10A-4442-BD02-C9F2C690E2CB}</author>
    <author>tc={6A602185-0A35-46E3-BBFF-3975B8A2F502}</author>
    <author>tc={D067C969-5457-471A-8CCF-F7D763A6FF2E}</author>
    <author>tc={14D1C814-6569-4E9B-A5DF-0B1EE20CEF8C}</author>
    <author>tc={5A3968F6-B41F-49E3-891F-C1EC72E5749E}</author>
    <author>tc={15483E68-1F1B-47C4-B73D-AE92D004322E}</author>
    <author>tc={D17D120E-5B63-47E0-BC23-2314DB0B539E}</author>
  </authors>
  <commentList>
    <comment ref="B6" authorId="0" shapeId="0" xr:uid="{37C5FAD3-1AE6-4B67-977E-50B6A129CC71}">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s'agit ici du nombre d'années d'ancienneté complètes pour déterminer le nombre de points d'ancienneté. Il vous appartient de déduire les périodes d'absence non assimilées à du temps de travail effectif qui n'entrent pas dans le décompte de l'ancienneté.
</t>
      </text>
    </comment>
    <comment ref="L7" authorId="1" shapeId="0" xr:uid="{E61186DF-DC1D-4BD8-BB76-2BCC66E609A9}">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créé cette option car certains salariés à temps partiel même en dessous de 24h par semaine ne bénéficient pas de l'indemnité temps partiel de 8 points: le salarié qui passerait en dessous de 24h en raison d'un congé parental à temps partiel, d'un mi-temps thérapeutique ou d'une retraite progressive. </t>
      </text>
    </comment>
    <comment ref="H8" authorId="2" shapeId="0" xr:uid="{D09AA781-6301-4CA2-ADDE-550F401C803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Indiquer ici le coefficient attribué au salarié sachant que celui-ci ne peut pas être inférieur au coefficient conventionnel correspondant à son groupe de classification</t>
      </text>
    </comment>
    <comment ref="C14" authorId="3" shapeId="0" xr:uid="{E1825420-97EF-450C-9619-0C045B27FC8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N'hésitez pas à entrer en haut à droite du tableau le nombre d'années entières d'ancienneté pour calculer automatiquement le nombre de points d'ancienneté. 
Attention: cette formule marche uniquement pour les embauches réalisées depuis 2003.</t>
      </text>
    </comment>
    <comment ref="C18" authorId="4" shapeId="0" xr:uid="{C4690122-5F82-4381-A542-99166E64178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rentré ici une formule permettant de déclencher les 7 points d'indemnité temps partiel dès lors que vous avez indiqué en case M6 que le salarié doit bénéficier de l'indemnité temps partiel conformément aux dispositions conventionnelles.</t>
      </text>
    </comment>
    <comment ref="C19" authorId="5" shapeId="0" xr:uid="{3DAEA5E6-A955-4EC4-ADF2-92720F2B2E0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s'agit ici d'indiquer le montant de la prime versée volontairement par l'employeur et qui est exprimée directement avec un montant mensuel numéraire en euros et non pas en points. Le montant en euros n'est pas ici un montant journalier mais bien le montant mensuel brut attribué au salarié.</t>
      </text>
    </comment>
    <comment ref="C29" authorId="6" shapeId="0" xr:uid="{189BEC1D-41E8-41B8-8E3B-96D86D4B42E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Dans cet exemple, il a été appliqué le régime de base conventionnel pour la mutuelle. Vous pouvez modifier le contenu des cellules (base et taux) en fonction de votre régime de complémentaire santé appliqué dans l'association. Ou bien encore supprimer cette ligne si le salarié a demandé à être dispensé de la mutuelle conformément aux disposition légales ou conventionnelles.</t>
      </text>
    </comment>
    <comment ref="F30" authorId="7" shapeId="0" xr:uid="{861C9B8A-F1C2-4C3F-9C75-E730A002650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a été ici prévu un taux fictif accident du travail à 1,30%. Pensez à modifier ce taux en fonction de celui qui est applicable dans votre association.</t>
      </text>
    </comment>
    <comment ref="D33" authorId="8" shapeId="0" xr:uid="{DC293F78-2417-42C8-A2D5-6B9041BE492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appliqué une répartition 50/50 entre le salarié et l'employeur pour la cotisation de retraite complémentaire. Si vous appliquez une répartition à 60/40, il faudra modifier les taux de la manière suivante: 4,06 salarié et 6,10 employeur.</t>
      </text>
    </comment>
    <comment ref="F41" authorId="9" shapeId="0" xr:uid="{64ACB197-E10A-4442-BD02-C9F2C690E2CB}">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indiqué un taux fictif. Il vous appartient de saisir le taux appliqué dans votre agglomération pour le versement transport si le lieu de travail est bien situé dans une agglomération soumise au versement transport. Si ce n'est pas le cas, indiquez "0". 
</t>
      </text>
    </comment>
    <comment ref="J55" authorId="10" shapeId="0" xr:uid="{6A602185-0A35-46E3-BBFF-3975B8A2F50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s'agit ici du remboursement à 50% du montant de l'abonnement aux transports en commun ainsi que la participation de l'employeur à l'achat des tickets restaurant</t>
      </text>
    </comment>
    <comment ref="C58" authorId="11" shapeId="0" xr:uid="{D067C969-5457-471A-8CCF-F7D763A6FF2E}">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 le salarié utilise les transports en commun pour venir travailler et qu'il paye un abonnement, indiquez ici le montant de cet abonnement </t>
      </text>
    </comment>
    <comment ref="E58" authorId="12" shapeId="0" xr:uid="{14D1C814-6569-4E9B-A5DF-0B1EE20CEF8C}">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appliqué une prise en charge à 50% (obligation légale minimale).  </t>
      </text>
    </comment>
    <comment ref="C59" authorId="13" shapeId="0" xr:uid="{5A3968F6-B41F-49E3-891F-C1EC72E5749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S'il y en a, indiquez ici le montant total des tickets restaurant attribués pour le mois en cours</t>
      </text>
    </comment>
    <comment ref="D59" authorId="14" shapeId="0" xr:uid="{15483E68-1F1B-47C4-B73D-AE92D004322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prévu une répartition à 40/60 salarié/employeur. Si la répartition est différente entre le salarié et l'employeur, pensez à modifier le taux de cotisation</t>
      </text>
    </comment>
    <comment ref="F59" authorId="15" shapeId="0" xr:uid="{D17D120E-5B63-47E0-BC23-2314DB0B539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prévu une répartition à 40/60 salarié/employeur. Si la répartition est différente entre le salarié et l'employeur, pensez à modifier le taux de cotisation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tc={54E1B21E-B937-435E-908B-7EE6BB8FB112}</author>
    <author>tc={F5E3E8F5-BAB8-4B38-BD64-0978671409BC}</author>
    <author>tc={2BFE7918-1820-4C6D-8380-1525184B3B22}</author>
    <author>tc={0CBC391B-DEEF-47A4-8241-CF5DF21502EA}</author>
    <author>tc={2E491DFF-24A3-46A2-BE0A-854BA1C6A907}</author>
    <author>tc={A1050ED1-E4CD-41EF-9000-36C9AEB96AB7}</author>
    <author>tc={74C0F01E-C0C9-4E45-9DD7-4CD99D1C6DF6}</author>
    <author>tc={0E7F5703-360E-4A8C-BF0A-F743147EABD8}</author>
    <author>tc={373EEE22-12FF-4951-8B6A-AF126E45DB66}</author>
    <author>tc={8E01335F-9C9B-4D4A-8182-CB4DF7F97389}</author>
    <author>tc={24F49CA3-1D99-47A1-B311-37FDA86B68E4}</author>
    <author>tc={4EDB7E2D-071B-4061-BB07-5EE4CA507B16}</author>
    <author>tc={01527BF9-6A54-40FF-9E4F-57214C329422}</author>
    <author>tc={02661116-B2F1-4F36-A83B-703ED0857A1B}</author>
    <author>tc={EA48C495-E760-4119-9E29-C73A186F5639}</author>
  </authors>
  <commentList>
    <comment ref="B6" authorId="0" shapeId="0" xr:uid="{54E1B21E-B937-435E-908B-7EE6BB8FB112}">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s'agit ici du nombre d'années d'ancienneté complètes pour déterminer le nombre de points d'ancienneté. Il vous appartient de déduire les périodes d'absence non assimilées à du temps de travail effectif qui n'entrent pas dans le décompte de l'ancienneté.
</t>
      </text>
    </comment>
    <comment ref="L7" authorId="1" shapeId="0" xr:uid="{F5E3E8F5-BAB8-4B38-BD64-0978671409BC}">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créé cette option car certains salariés à temps partiel même en dessous de 24h par semaine ne bénéficient pas de l'indemnité temps partiel de 7 points: le salarié qui passerait en dessous de 24h en raison d'un congé parental à temps partiel, d'un mi-temps thérapeutique ou d'une retraite progressive. </t>
      </text>
    </comment>
    <comment ref="H8" authorId="2" shapeId="0" xr:uid="{2BFE7918-1820-4C6D-8380-1525184B3B2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Indiquer ici le coefficient attribué au salarié sachant que celui-ci ne peut pas être inférieur au coefficient conventionnel correspondant à son groupe de classification</t>
      </text>
    </comment>
    <comment ref="C14" authorId="3" shapeId="0" xr:uid="{0CBC391B-DEEF-47A4-8241-CF5DF21502E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N'hésitez pas à entrer en haut à droite du tableau le nombre d'années entières d'ancienneté pour calculer automatiquement le nombre de points d'ancienneté. 
Attention: cette formule marche uniquement pour les embauches réalisées depuis 2003.</t>
      </text>
    </comment>
    <comment ref="C18" authorId="4" shapeId="0" xr:uid="{2E491DFF-24A3-46A2-BE0A-854BA1C6A907}">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rentré ici une formule permettant de déclencher les 7 points d'indemnité temps partiel dès lors que le salarié est embauché pour moins de 24h par semaine. </t>
      </text>
    </comment>
    <comment ref="C19" authorId="5" shapeId="0" xr:uid="{A1050ED1-E4CD-41EF-9000-36C9AEB96AB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s'agit ici d'indiquer le montant de la prime versée volontairement par l'employeur et qui est exprimée directement avec un montant mensuel numéraire en euros et non pas en points. Le montant en euros n'est pas ici un montant journalier mais bien le montant mensuel brut attribué au salarié.</t>
      </text>
    </comment>
    <comment ref="C30" authorId="6" shapeId="0" xr:uid="{74C0F01E-C0C9-4E45-9DD7-4CD99D1C6DF6}">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Dans cet exemple, il a été appliqué le régime de base conventionnel pour la mutuelle. Vous pouvez modifier le contenu des cellules (base et taux) en fonction de votre régime de complémentaire santé appliqué dans l'association. Ou bien encore supprimer cette ligne si le salarié a demandé à être dispensé de la mutuelle conformément aux disposition légales ou conventionnelles.
</t>
      </text>
    </comment>
    <comment ref="F31" authorId="7" shapeId="0" xr:uid="{0E7F5703-360E-4A8C-BF0A-F743147EABD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a été ici prévu un taux fictif accident du travail à 1,30%. Pensez à modifier ce taux en fonction de celui qui est applicable dans votre association.</t>
      </text>
    </comment>
    <comment ref="D34" authorId="8" shapeId="0" xr:uid="{373EEE22-12FF-4951-8B6A-AF126E45DB6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appliqué une répartition 50/50 entre le salarié et l'employeur pour la cotisation de retraite complémentaire. Si vous appliquez une répartition à 60/40, il faudra modifier les taux de la manière suivante: 4,06 salarié et 6,10 employeur.</t>
      </text>
    </comment>
    <comment ref="F43" authorId="9" shapeId="0" xr:uid="{8E01335F-9C9B-4D4A-8182-CB4DF7F97389}">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indiqué un taux fictif. Il vous appartient de saisir le taux appliqué dans votre agglomération pour le versement transport si le lieu de travail est bien situé dans une agglomération soumise au versement transport. Si ce n'est pas le cas, indiquez "0". 
</t>
      </text>
    </comment>
    <comment ref="C60" authorId="10" shapeId="0" xr:uid="{24F49CA3-1D99-47A1-B311-37FDA86B68E4}">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 le salarié utilise les transports en commun pour venir travailler et qu'il paye un abonnement, indiquez ici le montant de cet abonnement </t>
      </text>
    </comment>
    <comment ref="E60" authorId="11" shapeId="0" xr:uid="{4EDB7E2D-071B-4061-BB07-5EE4CA507B16}">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appliqué une prise en charge à 50% (obligation légale minimale). </t>
      </text>
    </comment>
    <comment ref="C61" authorId="12" shapeId="0" xr:uid="{01527BF9-6A54-40FF-9E4F-57214C32942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S'il y en a, indiquez ici le montant total des tickets restaurant attribués pour le mois en cours</t>
      </text>
    </comment>
    <comment ref="D61" authorId="13" shapeId="0" xr:uid="{02661116-B2F1-4F36-A83B-703ED0857A1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prévu une répartition à 40/60 salarié/employeur. Si la répartition est différente entre le salarié et l'employeur, pensez à modifier le taux de cotisation</t>
      </text>
    </comment>
    <comment ref="F61" authorId="14" shapeId="0" xr:uid="{EA48C495-E760-4119-9E29-C73A186F563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prévu une répartition à 40/60 salarié/employeur. Si la répartition est différente entre le salarié et l'employeur, pensez à modifier le taux de cotisation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tc={0DF72AEE-C64B-417B-B5BD-24A4DE8834B5}</author>
    <author>tc={DA3F4B86-4E58-4359-855A-90103A975E34}</author>
    <author>tc={9CC03C08-011A-4A8D-9827-68F5B5F66AAA}</author>
    <author>tc={79FA36F5-A401-482D-BF3E-56EC9B90DDCA}</author>
    <author>tc={FEBEFB9C-091B-4C1D-954B-EF6135670B02}</author>
    <author>tc={B516E933-7127-4205-9146-CF95E833782F}</author>
    <author>tc={FCDE69A1-0ACF-4689-A9C9-198B7CE545E6}</author>
    <author>tc={6C59DED4-D094-4660-BA86-D17EC7B83C74}</author>
    <author>tc={636409C0-DC10-41F1-AEBA-C4B5F5524C3B}</author>
    <author>tc={3904A452-6A90-4A0B-84DC-0E5B8D84EBDC}</author>
    <author>tc={CC7703F2-665F-4A43-B5F8-25E0E20E2E51}</author>
    <author>tc={E538BD37-E1F8-4A6A-8A38-E1149D110657}</author>
  </authors>
  <commentList>
    <comment ref="B6" authorId="0" shapeId="0" xr:uid="{0DF72AEE-C64B-417B-B5BD-24A4DE8834B5}">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s'agit ici du nombre d'années d'ancienneté complètes pour déterminer le nombre de points d'ancienneté. Il vous appartient de déduire les périodes d'absence non assimilées à du temps de travail effectif qui n'entrent pas dans le décompte de l'ancienneté.
</t>
      </text>
    </comment>
    <comment ref="H8" authorId="1" shapeId="0" xr:uid="{DA3F4B86-4E58-4359-855A-90103A975E3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Indiquer ici le coefficient attribué au salarié sachant que celui-ci ne peut pas être inférieur au coefficient conventionnel correspondant à son groupe de classification</t>
      </text>
    </comment>
    <comment ref="C14" authorId="2" shapeId="0" xr:uid="{9CC03C08-011A-4A8D-9827-68F5B5F66AA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N'hésitez pas à entrer en haut à droite du tableau le nombre d'années entières d'ancienneté pour calculer automatiquement le nombre de points d'ancienneté. 
Attention: cette formule marche uniquement pour les embauches réalisées depuis 2003.</t>
      </text>
    </comment>
    <comment ref="C17" authorId="3" shapeId="0" xr:uid="{79FA36F5-A401-482D-BF3E-56EC9B90DDC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s'agit ici d'indiquer le montant de la prime versée volontairement par l'employeur et qui est exprimée directement avec un montant mensuel numéraire en euros et non pas en points. Le montant en euros n'est pas ici un montant journalier mais bien le montant mensuel brut attribué au salarié.</t>
      </text>
    </comment>
    <comment ref="C28" authorId="4" shapeId="0" xr:uid="{FEBEFB9C-091B-4C1D-954B-EF6135670B0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Dans cet exemple, il a été appliqué le régime de base conventionnel pour la mutuelle. Vous pouvez modifier le contenu des cellules (base et taux) en fonction de votre régime de complémentaire santé appliqué dans l'association. Ou bien encore supprimer cette ligne si le salarié a demandé à être dispensé de la mutuelle conformément aux disposition légales ou conventionnelles.</t>
      </text>
    </comment>
    <comment ref="F29" authorId="5" shapeId="0" xr:uid="{B516E933-7127-4205-9146-CF95E833782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a été ici prévu un taux fictif accident du travail à 1,30%. Pensez à modifier ce taux en fonction de celui qui est applicable dans votre association.</t>
      </text>
    </comment>
    <comment ref="D32" authorId="6" shapeId="0" xr:uid="{FCDE69A1-0ACF-4689-A9C9-198B7CE545E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appliqué une répartition 50/50 entre le salarié et l'employeur pour la cotisation de retraite complémentaire. Si vous appliquez une répartition à 60/40, il faudra modifier les taux de la manière suivante: 4,06 salarié et 6,10 employeur.</t>
      </text>
    </comment>
    <comment ref="F41" authorId="7" shapeId="0" xr:uid="{6C59DED4-D094-4660-BA86-D17EC7B83C74}">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indiqué un taux fictif. Il vous appartient de saisir le taux appliqué dans votre agglomération pour le versement transport si le lieu de travail est bien situé dans une agglomération soumise au versement transport. Si ce n'est pas le cas, indiquez "0". 
</t>
      </text>
    </comment>
    <comment ref="C58" authorId="8" shapeId="0" xr:uid="{636409C0-DC10-41F1-AEBA-C4B5F5524C3B}">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 le salarié utilise les transports en commun pour venir travailler et qu'il paye un abonnement, indiquez ici le montant de cet abonnement </t>
      </text>
    </comment>
    <comment ref="E58" authorId="9" shapeId="0" xr:uid="{3904A452-6A90-4A0B-84DC-0E5B8D84EBDC}">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appliqué une prise en charge à 50% (obligation légale minimale). </t>
      </text>
    </comment>
    <comment ref="C59" authorId="10" shapeId="0" xr:uid="{CC7703F2-665F-4A43-B5F8-25E0E20E2E5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S'il y en a, indiquez ici le montant total des tickets restaurant attribués pour le mois en cours</t>
      </text>
    </comment>
    <comment ref="D59" authorId="11" shapeId="0" xr:uid="{E538BD37-E1F8-4A6A-8A38-E1149D11065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prévu une répartition à 40/60 salarié/employeur. Si la répartition est différente entre le salarié et l'employeur, pensez à modifier le taux de cotisation</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tc={F661D779-BAF9-4F74-BDBA-20DE18F1305E}</author>
    <author>tc={C679FE61-7DA9-4F13-8EEE-11B94CCF6788}</author>
    <author>tc={4AC8E372-B3F7-4ADA-B517-A43A28716B8A}</author>
    <author>tc={BB86C4D8-B52F-4FD3-9F7E-0C5F9718CF80}</author>
    <author>tc={95FC3113-CCF6-4072-B8C8-B388CA54EBC3}</author>
    <author>tc={63EE1D62-36E1-49B2-B835-35E4396C665E}</author>
    <author>tc={0B82E540-2DFC-42AB-AA94-D95C3B369FF7}</author>
    <author>tc={B1C5F0E9-55CD-4C42-9468-2F42F308A140}</author>
    <author>tc={0ED7E2C1-A00D-466A-8610-6F4987DC30E2}</author>
    <author>tc={C60611A2-0D0F-42BF-B70D-2CE51E3A0871}</author>
    <author>tc={0BE1E841-0F70-4627-BFC1-CCCBBDD9F708}</author>
    <author>tc={FD5FC93E-750F-4658-A97E-7677BC16B236}</author>
    <author>tc={0B39967D-F579-4C53-ABAE-E1035AF2D42E}</author>
    <author>tc={7DB47CDC-AF4A-4A3A-A2A5-6618D00A8313}</author>
  </authors>
  <commentList>
    <comment ref="B6" authorId="0" shapeId="0" xr:uid="{F661D779-BAF9-4F74-BDBA-20DE18F1305E}">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s'agit ici du nombre d'années d'ancienneté complètes pour déterminer le nombre de points d'ancienneté. Il vous appartient de déduire les périodes d'absence non assimilées à du temps de travail effectif qui n'entrent pas dans le décompte de l'ancienneté.
</t>
      </text>
    </comment>
    <comment ref="H8" authorId="1" shapeId="0" xr:uid="{C679FE61-7DA9-4F13-8EEE-11B94CCF678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Indiquer ici le coefficient attribué au salarié sachant que celui-ci ne peut pas être inférieur au coefficient conventionnel correspondant à son groupe de classification</t>
      </text>
    </comment>
    <comment ref="C14" authorId="2" shapeId="0" xr:uid="{4AC8E372-B3F7-4ADA-B517-A43A28716B8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N'hésitez pas à entrer en haut à droite du tableau le nombre d'années entières d'ancienneté pour calculer automatiquement le nombre de points d'ancienneté. 
Attention: cette formule marche uniquement pour les embauches réalisées depuis 2003.</t>
      </text>
    </comment>
    <comment ref="C17" authorId="3" shapeId="0" xr:uid="{BB86C4D8-B52F-4FD3-9F7E-0C5F9718CF80}">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s'agit ici d'indiquer le montant de la prime versée volontairement par l'employeur et qui est exprimée directement avec un montant mensuel numéraire en euros et non pas en points. Le montant en euros n'est pas ici un montant journalier mais bien le montant mensuel brut attribué au salarié.
</t>
      </text>
    </comment>
    <comment ref="C28" authorId="4" shapeId="0" xr:uid="{95FC3113-CCF6-4072-B8C8-B388CA54EBC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Dans cet exemple, il a été appliqué le régime de base conventionnel pour la mutuelle. Vous pouvez modifier le contenu des cellules (base et taux) en fonction de votre régime de complémentaire santé appliqué dans l'association. Ou bien encore supprimer cette ligne si le salarié a demandé à être dispensé de la mutuelle conformément aux disposition légales ou conventionnelles.</t>
      </text>
    </comment>
    <comment ref="F29" authorId="5" shapeId="0" xr:uid="{63EE1D62-36E1-49B2-B835-35E4396C665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a été ici prévu un taux fictif accident du travail à 1,30%. Pensez à modifier ce taux en fonction de celui qui est applicable dans votre association.</t>
      </text>
    </comment>
    <comment ref="D32" authorId="6" shapeId="0" xr:uid="{0B82E540-2DFC-42AB-AA94-D95C3B369FF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appliqué une répartition 50/50 entre le salarié et l'employeur pour la cotisation de retraite complémentaire. Si vous appliquez une répartition à 60/40, il faudra modifier les taux de la manière suivante: 4,06 salarié et 6,10 employeur.</t>
      </text>
    </comment>
    <comment ref="F41" authorId="7" shapeId="0" xr:uid="{B1C5F0E9-55CD-4C42-9468-2F42F308A140}">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indiqué un taux fictif. Il vous appartient de saisir le taux appliqué dans votre agglomération pour le versement transport si le lieu de travail est bien situé dans une agglomération soumise au versement transport. Si ce n'est pas le cas, indiquez "0". 
</t>
      </text>
    </comment>
    <comment ref="J55" authorId="8" shapeId="0" xr:uid="{0ED7E2C1-A00D-466A-8610-6F4987DC30E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s'agit ici du remboursement à 50% du montant de l'abonnement aux transports en commun ainsi que la participation de l'employeur à l'achat des tickets restaurant.</t>
      </text>
    </comment>
    <comment ref="C58" authorId="9" shapeId="0" xr:uid="{C60611A2-0D0F-42BF-B70D-2CE51E3A0871}">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 le salarié utilise les transports en commun pour venir travailler et qu'il paye un abonnement, indiquez ici le montant de cet abonnement </t>
      </text>
    </comment>
    <comment ref="E58" authorId="10" shapeId="0" xr:uid="{0BE1E841-0F70-4627-BFC1-CCCBBDD9F708}">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appliqué une prise en charge à 50% (obligation légale minimale). </t>
      </text>
    </comment>
    <comment ref="C59" authorId="11" shapeId="0" xr:uid="{FD5FC93E-750F-4658-A97E-7677BC16B23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S'il y en a, indiquez ici le montant total des tickets restaurant attribués pour le mois en cours</t>
      </text>
    </comment>
    <comment ref="D59" authorId="12" shapeId="0" xr:uid="{0B39967D-F579-4C53-ABAE-E1035AF2D42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prévu une répartition à 40/60 salarié/employeur. Si la répartition est différente entre le salarié et l'employeur, pensez à modifier le taux de cotisation</t>
      </text>
    </comment>
    <comment ref="F59" authorId="13" shapeId="0" xr:uid="{7DB47CDC-AF4A-4A3A-A2A5-6618D00A831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prévu une répartition à 40/60 salarié/employeur. Si la répartition est différente entre le salarié et l'employeur, pensez à modifier le taux de cotisation</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tc={745E1733-884F-4501-88B0-F30DD9D238EF}</author>
    <author>tc={1BFE443E-50A3-48D3-93D8-7C2AA94E092C}</author>
    <author>tc={5050DF6C-E45D-4AB2-A11E-CFD3156C7CB9}</author>
    <author>tc={6F257049-E49A-40B0-8E93-46420D1B8367}</author>
    <author>tc={893764D4-E6ED-460F-BD1E-E49D1047DAC7}</author>
    <author>tc={75BE1AE5-FD42-4554-8CCE-72BCE8672974}</author>
    <author>tc={B8E50EB0-679B-4069-B259-1CE89D95F521}</author>
    <author>tc={580F3CA6-14B0-45E7-8477-07F65D9E9908}</author>
    <author>tc={3BEB757D-916F-403F-A58C-98D3B2B430F0}</author>
    <author>tc={743F5EDE-559E-4841-ABB3-1463A82A29BA}</author>
    <author>tc={149B8862-FAAC-4C47-93BB-43F3D351114F}</author>
    <author>tc={6D22657E-7099-478C-8FB2-2BC480CAFE95}</author>
    <author>tc={991F0CD4-6534-4754-93ED-0413BF61C8C4}</author>
    <author>tc={17F5050D-8055-4126-9F1D-60CEC06355E0}</author>
  </authors>
  <commentList>
    <comment ref="B6" authorId="0" shapeId="0" xr:uid="{745E1733-884F-4501-88B0-F30DD9D238EF}">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s'agit ici du nombre d'années d'ancienneté complètes pour déterminer le nombre de points d'ancienneté. Il vous appartient de déduire les périodes d'absence non assimilées à du temps de travail effectif qui n'entrent pas dans le décompte de l'ancienneté.
</t>
      </text>
    </comment>
    <comment ref="H8" authorId="1" shapeId="0" xr:uid="{1BFE443E-50A3-48D3-93D8-7C2AA94E092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Indiquer ici le coefficient attribué au salarié sachant que celui-ci ne peut pas être inférieur au coefficient conventionnel correspondant à son groupe de classification</t>
      </text>
    </comment>
    <comment ref="C14" authorId="2" shapeId="0" xr:uid="{5050DF6C-E45D-4AB2-A11E-CFD3156C7CB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N'hésitez pas à entrer en haut à droite du tableau le nombre d'années entières d'ancienneté pour calculer automatiquement le nombre de points d'ancienneté. 
Attention: cette formule marche uniquement pour les embauches réalisées depuis 2003.</t>
      </text>
    </comment>
    <comment ref="C18" authorId="3" shapeId="0" xr:uid="{6F257049-E49A-40B0-8E93-46420D1B8367}">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s'agit ici d'indiquer le montant de la prime versée volontairement par l'employeur et qui est exprimée directement avec un montant mensuel numéraire en euros et non pas en points. Le montant en euros n'est pas ici un montant horaire mais bien le montant mensuel brut attribué au salarié.
</t>
      </text>
    </comment>
    <comment ref="C28" authorId="4" shapeId="0" xr:uid="{893764D4-E6ED-460F-BD1E-E49D1047DAC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Dans cet exemple, il a été appliqué le régime de base conventionnel pour la mutuelle. Vous pouvez modifier le contenu des cellules (base et taux) en fonction de votre régime de complémentaire santé appliqué dans l'association. Ou bien encore supprimer cette ligne si le salarié a demandé à être dispensé de la mutuelle conformément aux disposition légales ou conventionnelles.</t>
      </text>
    </comment>
    <comment ref="F29" authorId="5" shapeId="0" xr:uid="{75BE1AE5-FD42-4554-8CCE-72BCE867297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a été ici prévu un taux fictif accident du travail à 1,30%. Pensez à modifier ce taux en fonction de celui qui est applicable dans votre association.</t>
      </text>
    </comment>
    <comment ref="D32" authorId="6" shapeId="0" xr:uid="{B8E50EB0-679B-4069-B259-1CE89D95F52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appliqué une répartition 50/50 entre le salarié et l'employeur pour la cotisation de retraite complémentaire. Si vous appliquez une répartition à 60/40, il faudra modifier les taux de la manière suivante: 4,06 salarié et 6,10 employeur.</t>
      </text>
    </comment>
    <comment ref="F40" authorId="7" shapeId="0" xr:uid="{580F3CA6-14B0-45E7-8477-07F65D9E9908}">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indiqué un taux fictif. Il vous appartient de saisir le taux appliqué dans votre agglomération pour le versement transport si le lieu de travail est bien situé dans une agglomération soumise au versement transport. Si ce n'est pas le cas, indiquez "0". 
</t>
      </text>
    </comment>
    <comment ref="J54" authorId="8" shapeId="0" xr:uid="{3BEB757D-916F-403F-A58C-98D3B2B430F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s'agit ici du remboursement à 50% du montant de l'abonnement aux transports en commun ainsi que la participation de l'employeur à l'achat des tickets restaurant</t>
      </text>
    </comment>
    <comment ref="C57" authorId="9" shapeId="0" xr:uid="{743F5EDE-559E-4841-ABB3-1463A82A29BA}">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 le salarié utilise les transports en commun pour venir travailler et qu'il paye un abonnement, indiquez ici le montant de cet abonnement </t>
      </text>
    </comment>
    <comment ref="E57" authorId="10" shapeId="0" xr:uid="{149B8862-FAAC-4C47-93BB-43F3D351114F}">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appliqué une prise en charge à 50% (obligation légale minimale). </t>
      </text>
    </comment>
    <comment ref="C58" authorId="11" shapeId="0" xr:uid="{6D22657E-7099-478C-8FB2-2BC480CAFE9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S'il y en a, indiquez ici le montant total des tickets restaurant attribués pour le mois en cours</t>
      </text>
    </comment>
    <comment ref="D58" authorId="12" shapeId="0" xr:uid="{991F0CD4-6534-4754-93ED-0413BF61C8C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prévu une répartition à 40/60 salarié/employeur. Si la répartition est différente entre le salarié et l'employeur, pensez à modifier le taux de cotisation salarié et employeur</t>
      </text>
    </comment>
    <comment ref="F58" authorId="13" shapeId="0" xr:uid="{17F5050D-8055-4126-9F1D-60CEC06355E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prévu une répartition à 40/60 salarié/employeur. Si la répartition est différente entre le salarié et l'employeur, pensez à modifier le taux de cotisation salarié et employeur</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tc={84EF16A8-5EB8-4271-8384-EBBB1FF7F405}</author>
    <author>tc={F24D03F8-DFF9-4878-9F0C-51261994D23A}</author>
    <author>tc={7A06B043-03F5-48C0-BBD5-E4534FED8BC3}</author>
    <author>tc={A70ECF76-26C9-4BC9-8849-8E2B4664659F}</author>
    <author>tc={3E5572B2-F293-42BD-9CC6-506F189678BB}</author>
    <author>tc={CBF277FE-7E75-4D8B-BA00-63D5CE388E49}</author>
    <author>tc={C6F92198-F25B-4C3E-9B30-B881179B6D1F}</author>
    <author>tc={DBCB7EE1-72E7-4418-8CB3-8F5C85B35321}</author>
    <author>tc={1456569A-5E71-45C0-BF9A-EB08A1E357BA}</author>
    <author>tc={970D3862-562B-4DF8-8D25-F4F2B6B0C420}</author>
    <author>tc={84793B54-E037-4AB8-BFB8-AA7A37113B43}</author>
    <author>tc={272F9722-6CE0-4067-9F04-A86BC6FE052E}</author>
    <author>tc={9AF50F5F-4938-4A5E-B3A1-7AD9A0B395DB}</author>
  </authors>
  <commentList>
    <comment ref="B6" authorId="0" shapeId="0" xr:uid="{84EF16A8-5EB8-4271-8384-EBBB1FF7F405}">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s'agit ici du nombre d'années d'ancienneté complètes pour déterminer le nombre de points d'ancienneté. Il vous appartient de déduire les périodes d'absence non assimilées à du temps de travail effectif qui n'entrent pas dans le décompte de l'ancienneté.
</t>
      </text>
    </comment>
    <comment ref="H10" authorId="1" shapeId="0" xr:uid="{F24D03F8-DFF9-4878-9F0C-51261994D23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Indiquer ici le coefficient attribué au salarié sachant que celui-ci ne peut pas être inférieur au coefficient conventionnel correspondant à son groupe de classification</t>
      </text>
    </comment>
    <comment ref="C16" authorId="2" shapeId="0" xr:uid="{7A06B043-03F5-48C0-BBD5-E4534FED8BC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N'hésitez pas à entrer en haut à droite du tableau le nombre d'années entières d'ancienneté pour calculer automatiquement le nombre de points d'ancienneté. 
Attention: cette formule marche uniquement pour les embauches réalisées depuis 2003.</t>
      </text>
    </comment>
    <comment ref="C19" authorId="3" shapeId="0" xr:uid="{A70ECF76-26C9-4BC9-8849-8E2B4664659F}">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s'agit ici d'indiquer le montant de la prime versée volontairement par l'employeur et qui est exprimée directement avec un montant mensuel numéraire en euros et non pas en points. Le montant en euros n'est pas ici un montant horaire mais bien le montant mensuel brut attribué au salarié.
</t>
      </text>
    </comment>
    <comment ref="C29" authorId="4" shapeId="0" xr:uid="{3E5572B2-F293-42BD-9CC6-506F189678B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Dans cet exemple, il a été appliqué le régime de base conventionnel pour la mutuelle. Vous pouvez modifier le contenu des cellules (base et taux) en fonction de votre régime de complémentaire santé appliqué dans l'association. Ou bien encore supprimer cette ligne si le salarié a demandé à être dispensé de la mutuelle conformément aux disposition légales ou conventionnelles.</t>
      </text>
    </comment>
    <comment ref="F30" authorId="5" shapeId="0" xr:uid="{CBF277FE-7E75-4D8B-BA00-63D5CE388E4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a été ici prévu un taux fictif accident du travail à 1,30%. Pensez à modifier ce taux en fonction de celui qui est applicable dans votre association.</t>
      </text>
    </comment>
    <comment ref="D33" authorId="6" shapeId="0" xr:uid="{C6F92198-F25B-4C3E-9B30-B881179B6D1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appliqué une répartition 50/50 entre le salarié et l'employeur pour la cotisation de retraite complémentaire. Si vous appliquez une répartition à 60/40, il faudra modifier les taux de la manière suivante: 4,06 salarié et 6,10 employeur.</t>
      </text>
    </comment>
    <comment ref="F41" authorId="7" shapeId="0" xr:uid="{DBCB7EE1-72E7-4418-8CB3-8F5C85B35321}">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indiqué un taux fictif. Il vous appartient de saisir le taux appliqué dans votre agglomération pour le versement transport si le lieu de travail est bien situé dans une agglomération soumise au versement transport. Si ce n'est pas le cas, indiquez "0". 
</t>
      </text>
    </comment>
    <comment ref="J55" authorId="8" shapeId="0" xr:uid="{1456569A-5E71-45C0-BF9A-EB08A1E357B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s'agit ici du remboursement à 50% du montant de l'abonnement aux transports en commun ainsi que la participation de l'employeur à l'achat des tickets restaurant</t>
      </text>
    </comment>
    <comment ref="C58" authorId="9" shapeId="0" xr:uid="{970D3862-562B-4DF8-8D25-F4F2B6B0C420}">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 le salarié utilise les transports en commun pour venir travailler et qu'il paye un abonnement, indiquez ici le montant de cet abonnement </t>
      </text>
    </comment>
    <comment ref="E58" authorId="10" shapeId="0" xr:uid="{84793B54-E037-4AB8-BFB8-AA7A37113B43}">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appliqué une prise en charge à 50% (obligation légale minimale). </t>
      </text>
    </comment>
    <comment ref="C59" authorId="11" shapeId="0" xr:uid="{272F9722-6CE0-4067-9F04-A86BC6FE052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S'il y en a, indiquez ici le montant total des tickets restaurant attribués pour le mois en cours</t>
      </text>
    </comment>
    <comment ref="D59" authorId="12" shapeId="0" xr:uid="{9AF50F5F-4938-4A5E-B3A1-7AD9A0B395D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Nous avons ici prévu une répartition à 40/60 salarié/employeur. Si la répartition est différente entre le salarié et l'employeur, pensez à modifier le taux de cotisation</t>
      </text>
    </comment>
  </commentList>
</comments>
</file>

<file path=xl/sharedStrings.xml><?xml version="1.0" encoding="utf-8"?>
<sst xmlns="http://schemas.openxmlformats.org/spreadsheetml/2006/main" count="842" uniqueCount="147">
  <si>
    <t>Paramètres pour la réalisation des bulletins de paie</t>
  </si>
  <si>
    <t>Smic horaire</t>
  </si>
  <si>
    <t>Coefficient mini</t>
  </si>
  <si>
    <t>PMSS</t>
  </si>
  <si>
    <t>Valeur de point V1</t>
  </si>
  <si>
    <t>Valeur de point V2</t>
  </si>
  <si>
    <t>Paramètre T coef fillon - 50 ETP</t>
  </si>
  <si>
    <t>Paramètre T coeff fillon 50 et +</t>
  </si>
  <si>
    <t>Taxe sur les salaires</t>
  </si>
  <si>
    <t>1ère Tranche à 4,25%</t>
  </si>
  <si>
    <t>salaire total</t>
  </si>
  <si>
    <t>2ème tranche à 4,25%</t>
  </si>
  <si>
    <t>entre</t>
  </si>
  <si>
    <t>et</t>
  </si>
  <si>
    <t>Tranche à 9,35%</t>
  </si>
  <si>
    <t>au-delà de</t>
  </si>
  <si>
    <t>Taux particuliers</t>
  </si>
  <si>
    <t>Assurance maladie Alsace Moselle</t>
  </si>
  <si>
    <t>Effectif de l'association en ETP</t>
  </si>
  <si>
    <t>Association en Alsace-Moselle</t>
  </si>
  <si>
    <t>NON</t>
  </si>
  <si>
    <t xml:space="preserve">Civilité, Prénom, Nom du salarié : </t>
  </si>
  <si>
    <t>Nombre d'années entières d'ancienneté depuis 2003</t>
  </si>
  <si>
    <t xml:space="preserve">Emploi : </t>
  </si>
  <si>
    <t>Durée contractuelle hebdomadaire de travail</t>
  </si>
  <si>
    <t>Bénéficie indemnité temps partiel</t>
  </si>
  <si>
    <t xml:space="preserve">Le groupe auquel est rattaché l'emploi est  : </t>
  </si>
  <si>
    <t>E</t>
  </si>
  <si>
    <t xml:space="preserve">Coefficient : </t>
  </si>
  <si>
    <t>Valeur V1 janv 2024</t>
  </si>
  <si>
    <t>durée hebdomadaire</t>
  </si>
  <si>
    <t>Salaire mensuel brut</t>
  </si>
  <si>
    <t>Valeur V2 janv 2024</t>
  </si>
  <si>
    <t>Salaire de base</t>
  </si>
  <si>
    <t xml:space="preserve"> points</t>
  </si>
  <si>
    <t>X</t>
  </si>
  <si>
    <t>/</t>
  </si>
  <si>
    <t xml:space="preserve"> €</t>
  </si>
  <si>
    <t>+</t>
  </si>
  <si>
    <t>(nb points - 257)</t>
  </si>
  <si>
    <t>€</t>
  </si>
  <si>
    <t>Nombre de points de reconstitution de carrière</t>
  </si>
  <si>
    <t xml:space="preserve">points     </t>
  </si>
  <si>
    <t xml:space="preserve">Points d’ancienneté </t>
  </si>
  <si>
    <t xml:space="preserve">points           </t>
  </si>
  <si>
    <t>Indemnité liée à la plurivalence</t>
  </si>
  <si>
    <t>Points de déroulement de carrière acquis au 31.12.2021</t>
  </si>
  <si>
    <t>points</t>
  </si>
  <si>
    <t>Prime personnelle en euros attribuée volontairement par l'employeur hors dispositions CCN</t>
  </si>
  <si>
    <t>Points attribués volontairement par l’employeur, hors dispositions CCN</t>
  </si>
  <si>
    <r>
      <rPr>
        <b/>
        <i/>
        <sz val="11"/>
        <color theme="1" tint="0.14999847407452621"/>
        <rFont val="Trebuchet MS"/>
        <family val="2"/>
      </rPr>
      <t>TOTAL MENSUEL BRUT</t>
    </r>
  </si>
  <si>
    <t xml:space="preserve">=   </t>
  </si>
  <si>
    <t>* V1 OU V2 au choix de l'employeur. Sélectionnez la cellule C9 ou C10 selon le choix réalisé</t>
  </si>
  <si>
    <t>nom cotis</t>
  </si>
  <si>
    <t>Base</t>
  </si>
  <si>
    <t>Part Salariale</t>
  </si>
  <si>
    <t>Part patronale</t>
  </si>
  <si>
    <t>Taux</t>
  </si>
  <si>
    <t>Retenue</t>
  </si>
  <si>
    <t>SS, maladie, maternité, invalidité, décès</t>
  </si>
  <si>
    <t>Prévoyance non cadre</t>
  </si>
  <si>
    <t>Mutuelle</t>
  </si>
  <si>
    <t>SS AT</t>
  </si>
  <si>
    <t>SS Vieillesse</t>
  </si>
  <si>
    <t>SS Vieillesse déplafonné</t>
  </si>
  <si>
    <t>Retraite complémentaire T1</t>
  </si>
  <si>
    <t>Retraite complémentaire T2</t>
  </si>
  <si>
    <t>CEG T1</t>
  </si>
  <si>
    <t>CEG T2</t>
  </si>
  <si>
    <t xml:space="preserve">CET AGIRC </t>
  </si>
  <si>
    <t>SS Allocations Familiales</t>
  </si>
  <si>
    <t>Chomage et solidarité</t>
  </si>
  <si>
    <t>FNGS</t>
  </si>
  <si>
    <t>Versement transport (se déclenche uniquement si 11 ETP et plus)</t>
  </si>
  <si>
    <t>SS Autonomie</t>
  </si>
  <si>
    <t>FNAL</t>
  </si>
  <si>
    <t>Paritarisme interpro</t>
  </si>
  <si>
    <t>Forfait social (se déclenche uniquement si 11 ETP et plus)</t>
  </si>
  <si>
    <t>Formation professionnelle légale</t>
  </si>
  <si>
    <t>Montants à la charge de l'employeur</t>
  </si>
  <si>
    <t>Formation professionnelle conventionnelle</t>
  </si>
  <si>
    <t>Paritarisme branche</t>
  </si>
  <si>
    <t>Montant de la taxe sur les salaires</t>
  </si>
  <si>
    <t>Participation construction (se déclenche uniquement si 50 ETP et plus)</t>
  </si>
  <si>
    <t>CSG déductible</t>
  </si>
  <si>
    <t>CSG/ CRDS non déductible</t>
  </si>
  <si>
    <t>Montant du salaire brut du salarié</t>
  </si>
  <si>
    <t>Taxe sur salaire taux normal</t>
  </si>
  <si>
    <t>Montant total des cotisations sociales patronales sur rémunération</t>
  </si>
  <si>
    <t>Taxe sur salaire 1er taux maj</t>
  </si>
  <si>
    <t>Taxe sur salaire 2ème taux maj</t>
  </si>
  <si>
    <t>Montant des autres charges de personnel</t>
  </si>
  <si>
    <t>Allègement cotisation Fillon</t>
  </si>
  <si>
    <t>Total cotisations</t>
  </si>
  <si>
    <t>Remboursement abonnement transport</t>
  </si>
  <si>
    <t>Coût total pour l'employeur</t>
  </si>
  <si>
    <t>Tickets restaurant</t>
  </si>
  <si>
    <t>Montant du net social</t>
  </si>
  <si>
    <t>Montant du net imposable</t>
  </si>
  <si>
    <t>Récapitulatif</t>
  </si>
  <si>
    <t>Salaire Brut</t>
  </si>
  <si>
    <t>Net à payer</t>
  </si>
  <si>
    <t>Charges patronales</t>
  </si>
  <si>
    <t>Coût total employeur</t>
  </si>
  <si>
    <t>Calculs plafonds PMSS et Fillon</t>
  </si>
  <si>
    <t>Prorata PMSS</t>
  </si>
  <si>
    <t>T1/TA</t>
  </si>
  <si>
    <t>TB</t>
  </si>
  <si>
    <t>T2</t>
  </si>
  <si>
    <t>TA+B</t>
  </si>
  <si>
    <t>TB+C</t>
  </si>
  <si>
    <t>TA+B+C</t>
  </si>
  <si>
    <t>Coefficient Fillon moins 50 ETP</t>
  </si>
  <si>
    <t>Coefficient Fillon 50 ETP et plus</t>
  </si>
  <si>
    <t>Association Alsace-Moselle</t>
  </si>
  <si>
    <t>G</t>
  </si>
  <si>
    <t>Prévoyance cadre TA</t>
  </si>
  <si>
    <t>Prévoyance cadre TB</t>
  </si>
  <si>
    <t>APEC</t>
  </si>
  <si>
    <t>Participation construction (seulement pour les + 50ETP)</t>
  </si>
  <si>
    <t>Montant net social</t>
  </si>
  <si>
    <t>Montant net imposable</t>
  </si>
  <si>
    <t>Coefficient Fillon moins de 50 ETP</t>
  </si>
  <si>
    <t>Nombre de jours annuels du forfait (hors journée de solidarité)</t>
  </si>
  <si>
    <t>H</t>
  </si>
  <si>
    <t>Nombre de jours annuels du forfait temps plein (hors journée de solidarité)</t>
  </si>
  <si>
    <t>Nombre réduit de jours du forfait annuel du salarié (hors journée de solidarité)</t>
  </si>
  <si>
    <t>Durée fu forfait-jours</t>
  </si>
  <si>
    <t>Durée annuelle contractuelle de travail</t>
  </si>
  <si>
    <t xml:space="preserve">Durée moyenne mensuelle </t>
  </si>
  <si>
    <t>B</t>
  </si>
  <si>
    <t>Durée hebdomadaire contractuelle de face à face</t>
  </si>
  <si>
    <t>Durée hebdomadaire avec préparation</t>
  </si>
  <si>
    <t>Durée mensuelle avec préparation</t>
  </si>
  <si>
    <t>* V1 OU V2 au choix de l'employeur. Sélectionnez la cellule C11 ou C12 selon le choix réalisé</t>
  </si>
  <si>
    <t>Prime de coupure (si appliquée = 5 points)</t>
  </si>
  <si>
    <t xml:space="preserve">Indemnité temps partiel si durée contrat inférieur à 24h/sem (si appliquée = 8 points) </t>
  </si>
  <si>
    <t>OUI</t>
  </si>
  <si>
    <r>
      <rPr>
        <b/>
        <sz val="16"/>
        <color theme="9" tint="-0.249977111117893"/>
        <rFont val="Arial"/>
        <family val="2"/>
      </rPr>
      <t xml:space="preserve">Simulation paie pour un salarié en CDI Non cadre temps plein ou temps partiel relevant de la grille générale </t>
    </r>
    <r>
      <rPr>
        <b/>
        <sz val="16"/>
        <color theme="9" tint="-0.249977111117893"/>
        <rFont val="Trebuchet MS"/>
        <family val="2"/>
      </rPr>
      <t xml:space="preserve">
Valeurs de l'année 2025</t>
    </r>
  </si>
  <si>
    <r>
      <rPr>
        <b/>
        <sz val="16"/>
        <color theme="9" tint="-0.249977111117893"/>
        <rFont val="Arial"/>
        <family val="2"/>
      </rPr>
      <t>Simulation paie pour un salarié Cadre en CDI avec un décompte du temps de travail en heures</t>
    </r>
    <r>
      <rPr>
        <b/>
        <sz val="16"/>
        <color theme="9" tint="-0.249977111117893"/>
        <rFont val="Trebuchet MS"/>
        <family val="2"/>
      </rPr>
      <t xml:space="preserve">
Valeurs de l'année 2025</t>
    </r>
  </si>
  <si>
    <r>
      <rPr>
        <b/>
        <sz val="16"/>
        <color theme="9" tint="-0.249977111117893"/>
        <rFont val="Arial"/>
        <family val="2"/>
      </rPr>
      <t>Simulation paie pour un salarié Cadre en CDI avec un forfait annuel en jours - Temps plein</t>
    </r>
    <r>
      <rPr>
        <b/>
        <sz val="16"/>
        <color theme="9" tint="-0.249977111117893"/>
        <rFont val="Trebuchet MS"/>
        <family val="2"/>
      </rPr>
      <t xml:space="preserve">
Valeurs de l'année 2025</t>
    </r>
  </si>
  <si>
    <r>
      <rPr>
        <b/>
        <sz val="16"/>
        <color theme="9" tint="-0.249977111117893"/>
        <rFont val="Arial"/>
        <family val="2"/>
      </rPr>
      <t xml:space="preserve">Simulation paie pour un salarié Cadre en CDI avec un forfait annuel en jours réduit </t>
    </r>
    <r>
      <rPr>
        <b/>
        <sz val="16"/>
        <color theme="9" tint="-0.249977111117893"/>
        <rFont val="Trebuchet MS"/>
        <family val="2"/>
      </rPr>
      <t xml:space="preserve">
Valeurs de l'année 2025</t>
    </r>
  </si>
  <si>
    <r>
      <rPr>
        <b/>
        <sz val="16"/>
        <color theme="9" tint="-0.249977111117893"/>
        <rFont val="Arial"/>
        <family val="2"/>
      </rPr>
      <t xml:space="preserve">Simulation paie pour un salarié en CDI Intermittent Non cadre </t>
    </r>
    <r>
      <rPr>
        <b/>
        <sz val="16"/>
        <color theme="9" tint="-0.249977111117893"/>
        <rFont val="Trebuchet MS"/>
        <family val="2"/>
      </rPr>
      <t xml:space="preserve">
Valeurs de l'année 2025</t>
    </r>
  </si>
  <si>
    <r>
      <rPr>
        <b/>
        <sz val="16"/>
        <color theme="9" tint="-0.249977111117893"/>
        <rFont val="Arial"/>
        <family val="2"/>
      </rPr>
      <t xml:space="preserve">Simulation paie pour un salarié Animateur-technicien ou Professeur en CDI à temps plein ou temps partiel relevant de la grille spécifique </t>
    </r>
    <r>
      <rPr>
        <b/>
        <sz val="16"/>
        <color theme="9" tint="-0.249977111117893"/>
        <rFont val="Trebuchet MS"/>
        <family val="2"/>
      </rPr>
      <t xml:space="preserve">
Valeurs de l'année 2025</t>
    </r>
  </si>
  <si>
    <t>Animateur-technicien/Professeur</t>
  </si>
  <si>
    <t xml:space="preserve">Le niveau auquel est rattaché l'emploi est  : </t>
  </si>
  <si>
    <t>Animateur technicien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</si>
</sst>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0.000"/>
    <numFmt numFmtId="166" formatCode="0.0000"/>
  </numFmts>
  <fonts count="47">
    <font>
      <sz val="10"/>
      <color rgb="FF000000"/>
      <name val="Times New Roman"/>
      <charset val="204"/>
    </font>
    <font>
      <sz val="10"/>
      <color rgb="FF000000"/>
      <name val="Times New Roman"/>
      <family val="1"/>
    </font>
    <font>
      <b/>
      <sz val="40"/>
      <name val="Arial"/>
      <family val="2"/>
    </font>
    <font>
      <b/>
      <sz val="10"/>
      <color rgb="FF4B5A60"/>
      <name val="Times New Roman"/>
      <family val="2"/>
      <charset val="204"/>
    </font>
    <font>
      <sz val="11"/>
      <color rgb="FF000000"/>
      <name val="Arial"/>
      <family val="2"/>
    </font>
    <font>
      <b/>
      <sz val="10"/>
      <color theme="0"/>
      <name val="Arial"/>
      <family val="2"/>
    </font>
    <font>
      <sz val="10"/>
      <name val="Arial"/>
      <family val="2"/>
    </font>
    <font>
      <i/>
      <sz val="10"/>
      <color rgb="FF4B5A60"/>
      <name val="Trebuchet MS"/>
      <family val="2"/>
    </font>
    <font>
      <b/>
      <sz val="12"/>
      <color theme="4" tint="-0.249977111117893"/>
      <name val="Arial Narrow"/>
      <family val="2"/>
    </font>
    <font>
      <b/>
      <sz val="11"/>
      <color rgb="FF4B5A60"/>
      <name val="Arial"/>
      <family val="2"/>
    </font>
    <font>
      <b/>
      <i/>
      <sz val="11"/>
      <color rgb="FF000000"/>
      <name val="Trebuchet MS"/>
      <family val="2"/>
    </font>
    <font>
      <b/>
      <i/>
      <sz val="10"/>
      <color theme="0" tint="-0.499984740745262"/>
      <name val="Arial"/>
      <family val="2"/>
    </font>
    <font>
      <sz val="10"/>
      <color rgb="FF4B5A60"/>
      <name val="Arial MT"/>
      <family val="2"/>
    </font>
    <font>
      <sz val="8"/>
      <color theme="0" tint="-0.499984740745262"/>
      <name val="Times New Roman"/>
      <family val="2"/>
      <charset val="204"/>
    </font>
    <font>
      <i/>
      <sz val="10"/>
      <color theme="1" tint="0.249977111117893"/>
      <name val="Arial"/>
      <family val="2"/>
    </font>
    <font>
      <sz val="10"/>
      <color rgb="FF000000"/>
      <name val="Times New Roman"/>
      <family val="2"/>
      <charset val="204"/>
    </font>
    <font>
      <i/>
      <sz val="10"/>
      <color rgb="FF4B5A60"/>
      <name val="Arial"/>
      <family val="2"/>
    </font>
    <font>
      <b/>
      <i/>
      <sz val="11"/>
      <color theme="2" tint="-0.749992370372631"/>
      <name val="Trebuchet MS"/>
      <family val="2"/>
    </font>
    <font>
      <b/>
      <sz val="10"/>
      <color rgb="FF000000"/>
      <name val="Times New Roman"/>
      <family val="1"/>
    </font>
    <font>
      <i/>
      <sz val="10"/>
      <color rgb="FF4B5A60"/>
      <name val="Arial MT"/>
    </font>
    <font>
      <sz val="10"/>
      <color theme="1" tint="0.14999847407452621"/>
      <name val="Times New Roman"/>
      <family val="2"/>
      <charset val="204"/>
    </font>
    <font>
      <b/>
      <i/>
      <sz val="11"/>
      <color theme="1" tint="0.14999847407452621"/>
      <name val="Trebuchet MS"/>
      <family val="2"/>
    </font>
    <font>
      <b/>
      <sz val="11"/>
      <color rgb="FF000000"/>
      <name val="Times New Roman"/>
      <family val="1"/>
    </font>
    <font>
      <b/>
      <sz val="12"/>
      <color theme="0" tint="-0.499984740745262"/>
      <name val="Arial"/>
      <family val="2"/>
    </font>
    <font>
      <b/>
      <i/>
      <sz val="8"/>
      <name val="Trebuchet MS"/>
      <family val="2"/>
    </font>
    <font>
      <sz val="10"/>
      <name val="Calibri"/>
      <family val="2"/>
    </font>
    <font>
      <b/>
      <sz val="16"/>
      <color rgb="FF000000"/>
      <name val="Times New Roman"/>
      <family val="1"/>
    </font>
    <font>
      <b/>
      <i/>
      <sz val="10"/>
      <name val="Calibri"/>
      <family val="2"/>
    </font>
    <font>
      <b/>
      <sz val="10"/>
      <name val="Calibri"/>
      <family val="2"/>
    </font>
    <font>
      <sz val="10"/>
      <name val="Arial"/>
      <family val="2"/>
    </font>
    <font>
      <b/>
      <sz val="8"/>
      <color rgb="FF4B5A60"/>
      <name val="Trebuchet MS"/>
      <family val="2"/>
    </font>
    <font>
      <i/>
      <sz val="10"/>
      <color rgb="FFFF0000"/>
      <name val="Arial"/>
      <family val="2"/>
    </font>
    <font>
      <b/>
      <i/>
      <sz val="12"/>
      <color rgb="FFFF0000"/>
      <name val="Arial"/>
      <family val="2"/>
    </font>
    <font>
      <b/>
      <i/>
      <sz val="10"/>
      <name val="Arial"/>
      <family val="2"/>
    </font>
    <font>
      <sz val="10"/>
      <color rgb="FF000000"/>
      <name val="Calibri"/>
      <family val="2"/>
    </font>
    <font>
      <b/>
      <sz val="12"/>
      <color rgb="FF000000"/>
      <name val="Calibri"/>
      <family val="2"/>
      <scheme val="minor"/>
    </font>
    <font>
      <sz val="10"/>
      <color rgb="FF000000"/>
      <name val="Calibri"/>
      <family val="2"/>
      <scheme val="minor"/>
    </font>
    <font>
      <i/>
      <sz val="10"/>
      <name val="Calibri"/>
      <family val="2"/>
    </font>
    <font>
      <b/>
      <sz val="14"/>
      <color rgb="FF000000"/>
      <name val="Times New Roman"/>
      <family val="1"/>
    </font>
    <font>
      <sz val="11"/>
      <name val="Arial"/>
      <family val="2"/>
    </font>
    <font>
      <b/>
      <sz val="16"/>
      <color theme="9" tint="-0.249977111117893"/>
      <name val="Arial"/>
      <family val="2"/>
    </font>
    <font>
      <i/>
      <sz val="10"/>
      <color theme="1" tint="0.14999847407452621"/>
      <name val="Trebuchet MS"/>
      <family val="2"/>
    </font>
    <font>
      <sz val="11"/>
      <color theme="1" tint="0.14999847407452621"/>
      <name val="Arial"/>
      <family val="2"/>
    </font>
    <font>
      <b/>
      <sz val="11"/>
      <name val="Calibri"/>
      <family val="2"/>
    </font>
    <font>
      <sz val="8"/>
      <color theme="2" tint="-0.499984740745262"/>
      <name val="Times New Roman"/>
      <family val="1"/>
    </font>
    <font>
      <b/>
      <sz val="16"/>
      <color theme="9" tint="-0.249977111117893"/>
      <name val="Times New Roman"/>
      <family val="2"/>
      <charset val="204"/>
    </font>
    <font>
      <b/>
      <sz val="16"/>
      <color theme="9" tint="-0.249977111117893"/>
      <name val="Trebuchet MS"/>
      <family val="2"/>
    </font>
  </fonts>
  <fills count="11">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EDEDED"/>
      </patternFill>
    </fill>
    <fill>
      <patternFill patternType="solid">
        <fgColor rgb="FFEDEDED"/>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indexed="13"/>
        <bgColor indexed="64"/>
      </patternFill>
    </fill>
    <fill>
      <patternFill patternType="solid">
        <fgColor theme="2"/>
        <bgColor indexed="64"/>
      </patternFill>
    </fill>
    <fill>
      <patternFill patternType="solid">
        <fgColor theme="9" tint="0.79998168889431442"/>
        <bgColor indexed="64"/>
      </patternFill>
    </fill>
  </fills>
  <borders count="66">
    <border>
      <left/>
      <right/>
      <top/>
      <bottom/>
      <diagonal/>
    </border>
    <border>
      <left/>
      <right style="thin">
        <color rgb="FFFFFFFF"/>
      </right>
      <top/>
      <bottom/>
      <diagonal/>
    </border>
    <border>
      <left style="thick">
        <color rgb="FF002060"/>
      </left>
      <right/>
      <top style="thick">
        <color rgb="FF002060"/>
      </top>
      <bottom/>
      <diagonal/>
    </border>
    <border>
      <left/>
      <right/>
      <top style="thick">
        <color rgb="FF002060"/>
      </top>
      <bottom/>
      <diagonal/>
    </border>
    <border>
      <left/>
      <right style="thick">
        <color rgb="FF002060"/>
      </right>
      <top style="thick">
        <color rgb="FF002060"/>
      </top>
      <bottom/>
      <diagonal/>
    </border>
    <border>
      <left style="thin">
        <color indexed="64"/>
      </left>
      <right style="thin">
        <color indexed="64"/>
      </right>
      <top style="thin">
        <color indexed="64"/>
      </top>
      <bottom style="thin">
        <color indexed="64"/>
      </bottom>
      <diagonal/>
    </border>
    <border>
      <left style="thick">
        <color rgb="FF002060"/>
      </left>
      <right/>
      <top/>
      <bottom/>
      <diagonal/>
    </border>
    <border>
      <left style="medium">
        <color rgb="FF002060"/>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ck">
        <color rgb="FF002060"/>
      </right>
      <top/>
      <bottom/>
      <diagonal/>
    </border>
    <border>
      <left style="thick">
        <color rgb="FF002060"/>
      </left>
      <right/>
      <top style="dashed">
        <color indexed="64"/>
      </top>
      <bottom/>
      <diagonal/>
    </border>
    <border>
      <left style="dashed">
        <color indexed="64"/>
      </left>
      <right style="dashed">
        <color indexed="64"/>
      </right>
      <top style="dashed">
        <color indexed="64"/>
      </top>
      <bottom/>
      <diagonal/>
    </border>
    <border>
      <left style="medium">
        <color theme="4" tint="0.79995117038483843"/>
      </left>
      <right/>
      <top style="medium">
        <color theme="4" tint="0.79995117038483843"/>
      </top>
      <bottom/>
      <diagonal/>
    </border>
    <border>
      <left/>
      <right style="medium">
        <color theme="4" tint="0.79995117038483843"/>
      </right>
      <top/>
      <bottom/>
      <diagonal/>
    </border>
    <border>
      <left style="medium">
        <color theme="4" tint="0.59996337778862885"/>
      </left>
      <right/>
      <top style="medium">
        <color theme="4" tint="0.59996337778862885"/>
      </top>
      <bottom/>
      <diagonal/>
    </border>
    <border>
      <left/>
      <right/>
      <top style="medium">
        <color theme="4" tint="0.59996337778862885"/>
      </top>
      <bottom/>
      <diagonal/>
    </border>
    <border>
      <left/>
      <right style="thick">
        <color rgb="FF002060"/>
      </right>
      <top style="medium">
        <color theme="4" tint="0.59996337778862885"/>
      </top>
      <bottom/>
      <diagonal/>
    </border>
    <border>
      <left style="thick">
        <color rgb="FF002060"/>
      </left>
      <right/>
      <top/>
      <bottom style="dashed">
        <color rgb="FF002060"/>
      </bottom>
      <diagonal/>
    </border>
    <border>
      <left style="dashed">
        <color indexed="64"/>
      </left>
      <right style="dashed">
        <color indexed="64"/>
      </right>
      <top style="dashed">
        <color indexed="64"/>
      </top>
      <bottom style="dashed">
        <color rgb="FF002060"/>
      </bottom>
      <diagonal/>
    </border>
    <border>
      <left style="medium">
        <color theme="4" tint="0.79995117038483843"/>
      </left>
      <right/>
      <top/>
      <bottom/>
      <diagonal/>
    </border>
    <border>
      <left style="medium">
        <color theme="4" tint="0.59996337778862885"/>
      </left>
      <right/>
      <top/>
      <bottom/>
      <diagonal/>
    </border>
    <border>
      <left style="thick">
        <color rgb="FF002060"/>
      </left>
      <right style="medium">
        <color theme="0" tint="-4.9989318521683403E-2"/>
      </right>
      <top/>
      <bottom style="medium">
        <color theme="0" tint="-4.9989318521683403E-2"/>
      </bottom>
      <diagonal/>
    </border>
    <border>
      <left style="medium">
        <color theme="0" tint="-4.9989318521683403E-2"/>
      </left>
      <right style="medium">
        <color theme="0" tint="-4.9989318521683403E-2"/>
      </right>
      <top/>
      <bottom style="medium">
        <color theme="0" tint="-4.9989318521683403E-2"/>
      </bottom>
      <diagonal/>
    </border>
    <border>
      <left style="medium">
        <color theme="0" tint="-4.9989318521683403E-2"/>
      </left>
      <right/>
      <top/>
      <bottom style="medium">
        <color theme="0" tint="-4.9989318521683403E-2"/>
      </bottom>
      <diagonal/>
    </border>
    <border>
      <left/>
      <right/>
      <top style="medium">
        <color theme="0" tint="-4.9989318521683403E-2"/>
      </top>
      <bottom style="medium">
        <color theme="0" tint="-4.9989318521683403E-2"/>
      </bottom>
      <diagonal/>
    </border>
    <border>
      <left style="medium">
        <color theme="4" tint="0.59996337778862885"/>
      </left>
      <right style="medium">
        <color theme="0" tint="-4.9989318521683403E-2"/>
      </right>
      <top/>
      <bottom style="medium">
        <color theme="0" tint="-4.9989318521683403E-2"/>
      </bottom>
      <diagonal/>
    </border>
    <border>
      <left style="medium">
        <color theme="0" tint="-4.9989318521683403E-2"/>
      </left>
      <right style="medium">
        <color theme="0" tint="-4.9989318521683403E-2"/>
      </right>
      <top style="medium">
        <color theme="0" tint="-4.9989318521683403E-2"/>
      </top>
      <bottom style="medium">
        <color theme="0" tint="-4.9989318521683403E-2"/>
      </bottom>
      <diagonal/>
    </border>
    <border>
      <left style="medium">
        <color theme="0" tint="-4.9989318521683403E-2"/>
      </left>
      <right style="thick">
        <color rgb="FF002060"/>
      </right>
      <top/>
      <bottom style="medium">
        <color theme="0" tint="-4.9989318521683403E-2"/>
      </bottom>
      <diagonal/>
    </border>
    <border>
      <left style="thick">
        <color rgb="FF002060"/>
      </left>
      <right style="medium">
        <color theme="0" tint="-4.9989318521683403E-2"/>
      </right>
      <top style="medium">
        <color theme="0" tint="-4.9989318521683403E-2"/>
      </top>
      <bottom style="medium">
        <color theme="0" tint="-4.9989318521683403E-2"/>
      </bottom>
      <diagonal/>
    </border>
    <border>
      <left style="medium">
        <color theme="0" tint="-4.9989318521683403E-2"/>
      </left>
      <right/>
      <top style="medium">
        <color theme="0" tint="-4.9989318521683403E-2"/>
      </top>
      <bottom style="medium">
        <color theme="0" tint="-4.9989318521683403E-2"/>
      </bottom>
      <diagonal/>
    </border>
    <border>
      <left style="medium">
        <color theme="4" tint="0.59996337778862885"/>
      </left>
      <right style="medium">
        <color theme="0" tint="-4.9989318521683403E-2"/>
      </right>
      <top style="medium">
        <color theme="0" tint="-4.9989318521683403E-2"/>
      </top>
      <bottom style="medium">
        <color theme="0" tint="-4.9989318521683403E-2"/>
      </bottom>
      <diagonal/>
    </border>
    <border>
      <left style="medium">
        <color theme="0" tint="-4.9989318521683403E-2"/>
      </left>
      <right style="thick">
        <color rgb="FF002060"/>
      </right>
      <top style="medium">
        <color theme="0" tint="-4.9989318521683403E-2"/>
      </top>
      <bottom style="medium">
        <color theme="0" tint="-4.9989318521683403E-2"/>
      </bottom>
      <diagonal/>
    </border>
    <border>
      <left/>
      <right/>
      <top/>
      <bottom style="thin">
        <color rgb="FFFFFFFF"/>
      </bottom>
      <diagonal/>
    </border>
    <border>
      <left/>
      <right/>
      <top style="thin">
        <color rgb="FFFFFFFF"/>
      </top>
      <bottom style="thin">
        <color rgb="FFFFFFFF"/>
      </bottom>
      <diagonal/>
    </border>
    <border>
      <left style="medium">
        <color theme="4" tint="0.79995117038483843"/>
      </left>
      <right/>
      <top/>
      <bottom style="medium">
        <color theme="4" tint="0.79995117038483843"/>
      </bottom>
      <diagonal/>
    </border>
    <border>
      <left/>
      <right style="medium">
        <color theme="4" tint="0.79995117038483843"/>
      </right>
      <top/>
      <bottom style="medium">
        <color theme="4" tint="0.79995117038483843"/>
      </bottom>
      <diagonal/>
    </border>
    <border>
      <left/>
      <right/>
      <top style="thin">
        <color rgb="FFFFFFFF"/>
      </top>
      <bottom/>
      <diagonal/>
    </border>
    <border>
      <left style="medium">
        <color theme="4" tint="0.59996337778862885"/>
      </left>
      <right style="medium">
        <color theme="0" tint="-4.9989318521683403E-2"/>
      </right>
      <top style="medium">
        <color theme="0" tint="-4.9989318521683403E-2"/>
      </top>
      <bottom/>
      <diagonal/>
    </border>
    <border>
      <left style="medium">
        <color theme="0" tint="-4.9989318521683403E-2"/>
      </left>
      <right style="medium">
        <color theme="0" tint="-4.9989318521683403E-2"/>
      </right>
      <top style="medium">
        <color theme="0" tint="-4.9989318521683403E-2"/>
      </top>
      <bottom/>
      <diagonal/>
    </border>
    <border>
      <left style="medium">
        <color theme="0" tint="-4.9989318521683403E-2"/>
      </left>
      <right style="thick">
        <color rgb="FF002060"/>
      </right>
      <top style="medium">
        <color theme="0" tint="-4.9989318521683403E-2"/>
      </top>
      <bottom/>
      <diagonal/>
    </border>
    <border>
      <left style="thick">
        <color rgb="FF002060"/>
      </left>
      <right style="medium">
        <color theme="0" tint="-4.9989318521683403E-2"/>
      </right>
      <top style="medium">
        <color theme="0" tint="-4.9989318521683403E-2"/>
      </top>
      <bottom style="thick">
        <color rgb="FF002060"/>
      </bottom>
      <diagonal/>
    </border>
    <border>
      <left style="medium">
        <color theme="0" tint="-4.9989318521683403E-2"/>
      </left>
      <right style="medium">
        <color theme="0" tint="-4.9989318521683403E-2"/>
      </right>
      <top style="medium">
        <color theme="0" tint="-4.9989318521683403E-2"/>
      </top>
      <bottom style="thick">
        <color rgb="FF002060"/>
      </bottom>
      <diagonal/>
    </border>
    <border>
      <left style="medium">
        <color theme="0" tint="-4.9989318521683403E-2"/>
      </left>
      <right/>
      <top/>
      <bottom style="thick">
        <color rgb="FF002060"/>
      </bottom>
      <diagonal/>
    </border>
    <border>
      <left style="medium">
        <color theme="0" tint="-4.9989318521683403E-2"/>
      </left>
      <right/>
      <top style="medium">
        <color theme="0" tint="-4.9989318521683403E-2"/>
      </top>
      <bottom style="thick">
        <color rgb="FF002060"/>
      </bottom>
      <diagonal/>
    </border>
    <border>
      <left style="medium">
        <color theme="4" tint="0.59996337778862885"/>
      </left>
      <right/>
      <top style="medium">
        <color theme="4" tint="0.59996337778862885"/>
      </top>
      <bottom style="thick">
        <color rgb="FF002060"/>
      </bottom>
      <diagonal/>
    </border>
    <border>
      <left style="thick">
        <color theme="4" tint="0.79998168889431442"/>
      </left>
      <right style="thick">
        <color theme="4" tint="0.79998168889431442"/>
      </right>
      <top style="medium">
        <color theme="4" tint="0.59996337778862885"/>
      </top>
      <bottom style="thick">
        <color rgb="FF002060"/>
      </bottom>
      <diagonal/>
    </border>
    <border>
      <left/>
      <right style="thick">
        <color rgb="FF002060"/>
      </right>
      <top style="medium">
        <color theme="4" tint="0.59996337778862885"/>
      </top>
      <bottom style="thick">
        <color rgb="FF002060"/>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rgb="FF002060"/>
      </left>
      <right/>
      <top style="medium">
        <color rgb="FF002060"/>
      </top>
      <bottom/>
      <diagonal/>
    </border>
    <border>
      <left style="medium">
        <color rgb="FF002060"/>
      </left>
      <right style="medium">
        <color rgb="FF002060"/>
      </right>
      <top style="medium">
        <color rgb="FF002060"/>
      </top>
      <bottom/>
      <diagonal/>
    </border>
    <border>
      <left style="medium">
        <color rgb="FF002060"/>
      </left>
      <right style="medium">
        <color indexed="64"/>
      </right>
      <top style="medium">
        <color indexed="64"/>
      </top>
      <bottom style="medium">
        <color rgb="FF002060"/>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auto="1"/>
      </right>
      <top/>
      <bottom/>
      <diagonal/>
    </border>
    <border>
      <left/>
      <right style="medium">
        <color rgb="FF002060"/>
      </right>
      <top/>
      <bottom/>
      <diagonal/>
    </border>
    <border>
      <left/>
      <right/>
      <top/>
      <bottom style="medium">
        <color auto="1"/>
      </bottom>
      <diagonal/>
    </border>
  </borders>
  <cellStyleXfs count="5">
    <xf numFmtId="0" fontId="0" fillId="0" borderId="0"/>
    <xf numFmtId="44" fontId="1" fillId="0" borderId="0" applyFont="0" applyFill="0" applyBorder="0" applyAlignment="0" applyProtection="0"/>
    <xf numFmtId="0" fontId="6" fillId="0" borderId="0"/>
    <xf numFmtId="0" fontId="29" fillId="0" borderId="0"/>
    <xf numFmtId="44" fontId="29" fillId="0" borderId="0" applyFont="0" applyFill="0" applyBorder="0" applyAlignment="0" applyProtection="0"/>
  </cellStyleXfs>
  <cellXfs count="233">
    <xf numFmtId="0" fontId="0" fillId="0" borderId="0" xfId="0"/>
    <xf numFmtId="0" fontId="11" fillId="0" borderId="28" xfId="0" applyFont="1" applyBorder="1" applyAlignment="1" applyProtection="1">
      <alignment horizontal="right" vertical="center" wrapText="1"/>
      <protection locked="0"/>
    </xf>
    <xf numFmtId="0" fontId="33" fillId="6" borderId="28" xfId="0" applyFont="1" applyFill="1" applyBorder="1" applyAlignment="1" applyProtection="1">
      <alignment horizontal="right" vertical="center" wrapText="1"/>
      <protection locked="0"/>
    </xf>
    <xf numFmtId="0" fontId="14" fillId="0" borderId="31" xfId="0" applyFont="1" applyBorder="1" applyAlignment="1" applyProtection="1">
      <alignment horizontal="center" vertical="center" wrapText="1"/>
      <protection locked="0"/>
    </xf>
    <xf numFmtId="165" fontId="25" fillId="0" borderId="0" xfId="0" applyNumberFormat="1" applyFont="1" applyAlignment="1" applyProtection="1">
      <alignment horizontal="right"/>
      <protection locked="0"/>
    </xf>
    <xf numFmtId="165" fontId="25" fillId="0" borderId="49" xfId="0" applyNumberFormat="1" applyFont="1" applyBorder="1" applyProtection="1">
      <protection locked="0"/>
    </xf>
    <xf numFmtId="2" fontId="25" fillId="0" borderId="49" xfId="0" applyNumberFormat="1" applyFont="1" applyBorder="1" applyProtection="1">
      <protection locked="0"/>
    </xf>
    <xf numFmtId="0" fontId="25" fillId="0" borderId="5" xfId="0" applyFont="1" applyBorder="1" applyAlignment="1" applyProtection="1">
      <alignment horizontal="right"/>
      <protection locked="0"/>
    </xf>
    <xf numFmtId="9" fontId="34" fillId="0" borderId="5" xfId="0" applyNumberFormat="1" applyFont="1" applyBorder="1" applyAlignment="1" applyProtection="1">
      <alignment horizontal="right" vertical="top"/>
      <protection locked="0"/>
    </xf>
    <xf numFmtId="2" fontId="25" fillId="0" borderId="5" xfId="0" applyNumberFormat="1" applyFont="1" applyBorder="1" applyProtection="1">
      <protection locked="0"/>
    </xf>
    <xf numFmtId="2" fontId="27" fillId="0" borderId="5" xfId="0" applyNumberFormat="1" applyFont="1" applyBorder="1" applyProtection="1">
      <protection locked="0"/>
    </xf>
    <xf numFmtId="2" fontId="37" fillId="0" borderId="5" xfId="0" applyNumberFormat="1" applyFont="1" applyBorder="1" applyProtection="1">
      <protection locked="0"/>
    </xf>
    <xf numFmtId="0" fontId="25" fillId="0" borderId="5" xfId="0" applyFont="1" applyBorder="1" applyProtection="1">
      <protection locked="0"/>
    </xf>
    <xf numFmtId="0" fontId="3" fillId="0" borderId="0" xfId="0" applyFont="1" applyAlignment="1" applyProtection="1">
      <alignment horizontal="center" vertical="top" wrapText="1"/>
      <protection locked="0"/>
    </xf>
    <xf numFmtId="0" fontId="3" fillId="0" borderId="1" xfId="0" applyFont="1" applyBorder="1" applyAlignment="1" applyProtection="1">
      <alignment vertical="center" wrapText="1"/>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3" fillId="0" borderId="0" xfId="0" applyFont="1" applyAlignment="1" applyProtection="1">
      <alignment vertical="center" wrapText="1"/>
      <protection locked="0"/>
    </xf>
    <xf numFmtId="0" fontId="5" fillId="2" borderId="0" xfId="0" applyFont="1" applyFill="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4" fillId="0" borderId="6"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11" xfId="0" applyFont="1" applyBorder="1" applyAlignment="1" applyProtection="1">
      <alignment vertical="center"/>
      <protection locked="0"/>
    </xf>
    <xf numFmtId="0" fontId="18" fillId="0" borderId="0" xfId="0" applyFont="1" applyAlignment="1" applyProtection="1">
      <alignment horizontal="left" vertical="top"/>
      <protection locked="0"/>
    </xf>
    <xf numFmtId="0" fontId="4" fillId="0" borderId="0" xfId="0" applyFont="1" applyAlignment="1" applyProtection="1">
      <alignment horizontal="right" vertical="center"/>
      <protection locked="0"/>
    </xf>
    <xf numFmtId="0" fontId="0" fillId="2" borderId="35" xfId="0" applyFill="1" applyBorder="1" applyAlignment="1" applyProtection="1">
      <alignment horizontal="left" vertical="center" wrapText="1"/>
      <protection locked="0"/>
    </xf>
    <xf numFmtId="0" fontId="0" fillId="2" borderId="38" xfId="0" applyFill="1" applyBorder="1" applyAlignment="1" applyProtection="1">
      <alignment horizontal="left" vertical="center" wrapText="1"/>
      <protection locked="0"/>
    </xf>
    <xf numFmtId="0" fontId="0" fillId="2" borderId="0" xfId="0" applyFill="1" applyAlignment="1" applyProtection="1">
      <alignment horizontal="left" vertical="center" wrapText="1"/>
      <protection locked="0"/>
    </xf>
    <xf numFmtId="0" fontId="24" fillId="0" borderId="1" xfId="0" applyFont="1" applyBorder="1" applyAlignment="1" applyProtection="1">
      <alignment horizontal="right" vertical="top" wrapText="1"/>
      <protection locked="0"/>
    </xf>
    <xf numFmtId="0" fontId="24" fillId="0" borderId="0" xfId="0" applyFont="1" applyAlignment="1" applyProtection="1">
      <alignment horizontal="right" vertical="top" wrapText="1"/>
      <protection locked="0"/>
    </xf>
    <xf numFmtId="0" fontId="0" fillId="0" borderId="0" xfId="0" applyAlignment="1" applyProtection="1">
      <alignment horizontal="left" vertical="top" wrapText="1" indent="34"/>
      <protection locked="0"/>
    </xf>
    <xf numFmtId="0" fontId="0" fillId="0" borderId="0" xfId="0" applyProtection="1">
      <protection locked="0"/>
    </xf>
    <xf numFmtId="0" fontId="0" fillId="0" borderId="0" xfId="0" applyAlignment="1" applyProtection="1">
      <alignment horizontal="right"/>
      <protection locked="0"/>
    </xf>
    <xf numFmtId="0" fontId="25" fillId="0" borderId="49" xfId="0" applyFont="1" applyBorder="1" applyAlignment="1" applyProtection="1">
      <alignment horizontal="center"/>
      <protection locked="0"/>
    </xf>
    <xf numFmtId="0" fontId="25" fillId="0" borderId="5" xfId="0" applyFont="1" applyBorder="1" applyAlignment="1" applyProtection="1">
      <alignment horizontal="center"/>
      <protection locked="0"/>
    </xf>
    <xf numFmtId="0" fontId="25" fillId="0" borderId="49" xfId="0" applyFont="1" applyBorder="1" applyAlignment="1" applyProtection="1">
      <alignment horizontal="left"/>
      <protection locked="0"/>
    </xf>
    <xf numFmtId="165" fontId="25" fillId="0" borderId="49" xfId="0" applyNumberFormat="1" applyFont="1" applyBorder="1" applyAlignment="1" applyProtection="1">
      <alignment horizontal="right"/>
      <protection locked="0"/>
    </xf>
    <xf numFmtId="0" fontId="25" fillId="0" borderId="51" xfId="0" applyFont="1" applyBorder="1" applyAlignment="1" applyProtection="1">
      <alignment horizontal="center"/>
      <protection locked="0"/>
    </xf>
    <xf numFmtId="2" fontId="25" fillId="0" borderId="50" xfId="0" applyNumberFormat="1" applyFont="1" applyBorder="1" applyProtection="1">
      <protection locked="0"/>
    </xf>
    <xf numFmtId="0" fontId="25" fillId="0" borderId="0" xfId="0" applyFont="1" applyAlignment="1" applyProtection="1">
      <alignment horizontal="center"/>
      <protection locked="0"/>
    </xf>
    <xf numFmtId="0" fontId="25" fillId="0" borderId="49" xfId="0" applyFont="1" applyBorder="1" applyProtection="1">
      <protection locked="0"/>
    </xf>
    <xf numFmtId="0" fontId="25" fillId="0" borderId="54" xfId="0" applyFont="1" applyBorder="1" applyProtection="1">
      <protection locked="0"/>
    </xf>
    <xf numFmtId="0" fontId="25" fillId="0" borderId="0" xfId="0" applyFont="1" applyProtection="1">
      <protection locked="0"/>
    </xf>
    <xf numFmtId="0" fontId="28" fillId="0" borderId="5" xfId="0" applyFont="1" applyBorder="1" applyProtection="1">
      <protection locked="0"/>
    </xf>
    <xf numFmtId="2" fontId="0" fillId="0" borderId="0" xfId="0" applyNumberFormat="1" applyProtection="1">
      <protection locked="0"/>
    </xf>
    <xf numFmtId="0" fontId="28" fillId="0" borderId="0" xfId="0" applyFont="1" applyProtection="1">
      <protection locked="0"/>
    </xf>
    <xf numFmtId="0" fontId="25" fillId="0" borderId="0" xfId="0" applyFont="1" applyAlignment="1" applyProtection="1">
      <alignment horizontal="right"/>
      <protection locked="0"/>
    </xf>
    <xf numFmtId="0" fontId="34" fillId="0" borderId="0" xfId="0" applyFont="1" applyProtection="1">
      <protection locked="0"/>
    </xf>
    <xf numFmtId="0" fontId="34" fillId="0" borderId="0" xfId="0" applyFont="1" applyAlignment="1" applyProtection="1">
      <alignment horizontal="right"/>
      <protection locked="0"/>
    </xf>
    <xf numFmtId="44" fontId="0" fillId="0" borderId="0" xfId="0" applyNumberFormat="1" applyProtection="1">
      <protection locked="0"/>
    </xf>
    <xf numFmtId="0" fontId="0" fillId="0" borderId="0" xfId="0" applyAlignment="1" applyProtection="1">
      <alignment horizontal="right" vertical="top"/>
      <protection locked="0"/>
    </xf>
    <xf numFmtId="165" fontId="25" fillId="10" borderId="0" xfId="0" applyNumberFormat="1" applyFont="1" applyFill="1" applyAlignment="1" applyProtection="1">
      <alignment horizontal="right"/>
      <protection locked="0"/>
    </xf>
    <xf numFmtId="165" fontId="25" fillId="10" borderId="49" xfId="0" applyNumberFormat="1" applyFont="1" applyFill="1" applyBorder="1" applyProtection="1">
      <protection locked="0"/>
    </xf>
    <xf numFmtId="2" fontId="25" fillId="10" borderId="49" xfId="0" applyNumberFormat="1" applyFont="1" applyFill="1" applyBorder="1" applyProtection="1">
      <protection locked="0"/>
    </xf>
    <xf numFmtId="0" fontId="25" fillId="10" borderId="5" xfId="0" applyFont="1" applyFill="1" applyBorder="1" applyAlignment="1" applyProtection="1">
      <alignment horizontal="right"/>
      <protection locked="0"/>
    </xf>
    <xf numFmtId="2" fontId="34" fillId="10" borderId="5" xfId="0" applyNumberFormat="1" applyFont="1" applyFill="1" applyBorder="1" applyAlignment="1" applyProtection="1">
      <alignment horizontal="right" vertical="top"/>
      <protection locked="0"/>
    </xf>
    <xf numFmtId="2" fontId="25" fillId="10" borderId="5" xfId="0" applyNumberFormat="1" applyFont="1" applyFill="1" applyBorder="1" applyProtection="1">
      <protection locked="0"/>
    </xf>
    <xf numFmtId="0" fontId="4" fillId="0" borderId="6"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25" fillId="0" borderId="49" xfId="0" applyFont="1" applyBorder="1" applyAlignment="1" applyProtection="1">
      <alignment horizontal="left" wrapText="1"/>
      <protection locked="0"/>
    </xf>
    <xf numFmtId="0" fontId="25" fillId="0" borderId="56" xfId="0" applyFont="1" applyBorder="1" applyProtection="1">
      <protection locked="0"/>
    </xf>
    <xf numFmtId="0" fontId="25" fillId="10" borderId="56" xfId="0" applyFont="1" applyFill="1" applyBorder="1" applyAlignment="1" applyProtection="1">
      <alignment horizontal="right"/>
      <protection locked="0"/>
    </xf>
    <xf numFmtId="0" fontId="43" fillId="0" borderId="5" xfId="0" applyFont="1" applyBorder="1" applyProtection="1">
      <protection locked="0"/>
    </xf>
    <xf numFmtId="0" fontId="4" fillId="3" borderId="55" xfId="0" applyFont="1" applyFill="1" applyBorder="1" applyAlignment="1" applyProtection="1">
      <alignment horizontal="center" vertical="center" wrapText="1"/>
      <protection locked="0"/>
    </xf>
    <xf numFmtId="0" fontId="31" fillId="0" borderId="31" xfId="0" applyFont="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wrapText="1"/>
      <protection locked="0"/>
    </xf>
    <xf numFmtId="0" fontId="4" fillId="3" borderId="55" xfId="0" applyFont="1" applyFill="1" applyBorder="1" applyAlignment="1" applyProtection="1">
      <alignment vertical="center"/>
      <protection locked="0"/>
    </xf>
    <xf numFmtId="0" fontId="39" fillId="0" borderId="58" xfId="0" applyFont="1" applyBorder="1" applyAlignment="1" applyProtection="1">
      <alignment horizontal="left" vertical="top" wrapText="1"/>
      <protection locked="0"/>
    </xf>
    <xf numFmtId="0" fontId="39" fillId="0" borderId="55" xfId="0" applyFont="1" applyBorder="1" applyAlignment="1" applyProtection="1">
      <alignment horizontal="left" vertical="top" wrapText="1"/>
      <protection locked="0"/>
    </xf>
    <xf numFmtId="0" fontId="39" fillId="3" borderId="59" xfId="0" applyFont="1" applyFill="1" applyBorder="1" applyAlignment="1" applyProtection="1">
      <alignment horizontal="center" vertical="center" wrapText="1"/>
      <protection locked="0"/>
    </xf>
    <xf numFmtId="0" fontId="39" fillId="3" borderId="55" xfId="0" applyFont="1" applyFill="1" applyBorder="1" applyAlignment="1" applyProtection="1">
      <alignment horizontal="center" vertical="center" wrapText="1"/>
      <protection locked="0"/>
    </xf>
    <xf numFmtId="0" fontId="39" fillId="3" borderId="60" xfId="0" applyFont="1" applyFill="1" applyBorder="1" applyAlignment="1" applyProtection="1">
      <alignment horizontal="center" vertical="center" wrapText="1"/>
      <protection locked="0"/>
    </xf>
    <xf numFmtId="0" fontId="39" fillId="3" borderId="61" xfId="0" applyFont="1" applyFill="1" applyBorder="1" applyAlignment="1" applyProtection="1">
      <alignment horizontal="center" vertical="center" wrapText="1"/>
      <protection locked="0"/>
    </xf>
    <xf numFmtId="0" fontId="39" fillId="0" borderId="62" xfId="0" applyFont="1" applyBorder="1" applyAlignment="1" applyProtection="1">
      <alignment horizontal="left" vertical="center" wrapText="1"/>
      <protection locked="0"/>
    </xf>
    <xf numFmtId="0" fontId="39" fillId="0" borderId="55"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2" fontId="4" fillId="0" borderId="0" xfId="0" applyNumberFormat="1" applyFont="1" applyAlignment="1" applyProtection="1">
      <alignment horizontal="center" vertical="center"/>
      <protection locked="0"/>
    </xf>
    <xf numFmtId="0" fontId="38" fillId="0" borderId="0" xfId="0" applyFont="1"/>
    <xf numFmtId="166" fontId="0" fillId="0" borderId="0" xfId="0" applyNumberFormat="1"/>
    <xf numFmtId="0" fontId="18" fillId="0" borderId="0" xfId="0" applyFont="1"/>
    <xf numFmtId="0" fontId="1" fillId="0" borderId="0" xfId="0" applyFont="1"/>
    <xf numFmtId="2" fontId="0" fillId="0" borderId="0" xfId="0" applyNumberFormat="1"/>
    <xf numFmtId="0" fontId="7" fillId="0" borderId="12" xfId="0" applyFont="1" applyBorder="1" applyAlignment="1" applyProtection="1">
      <alignment horizontal="right" vertical="center" wrapText="1"/>
      <protection locked="0"/>
    </xf>
    <xf numFmtId="0" fontId="3" fillId="0" borderId="16" xfId="0" applyFont="1" applyBorder="1" applyAlignment="1" applyProtection="1">
      <alignment horizontal="center" vertical="center" wrapText="1"/>
      <protection locked="0"/>
    </xf>
    <xf numFmtId="0" fontId="7" fillId="0" borderId="19" xfId="0" applyFont="1" applyBorder="1" applyAlignment="1" applyProtection="1">
      <alignment horizontal="right" vertical="center" wrapText="1"/>
      <protection locked="0"/>
    </xf>
    <xf numFmtId="0" fontId="3" fillId="0" borderId="21"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0" fillId="4" borderId="23" xfId="0" applyFont="1" applyFill="1" applyBorder="1" applyAlignment="1" applyProtection="1">
      <alignment horizontal="right" vertical="center" wrapText="1"/>
      <protection locked="0"/>
    </xf>
    <xf numFmtId="0" fontId="12" fillId="4" borderId="24" xfId="0" applyFont="1" applyFill="1" applyBorder="1" applyAlignment="1" applyProtection="1">
      <alignment horizontal="left" vertical="center" wrapText="1"/>
      <protection locked="0"/>
    </xf>
    <xf numFmtId="0" fontId="13" fillId="4" borderId="24" xfId="0" applyFont="1" applyFill="1" applyBorder="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11" fillId="0" borderId="26" xfId="0" applyFont="1" applyBorder="1" applyAlignment="1" applyProtection="1">
      <alignment horizontal="center" vertical="center" wrapText="1"/>
      <protection locked="0"/>
    </xf>
    <xf numFmtId="164" fontId="11" fillId="0" borderId="28" xfId="0" applyNumberFormat="1" applyFont="1" applyBorder="1" applyAlignment="1" applyProtection="1">
      <alignment horizontal="center" vertical="center" wrapText="1"/>
      <protection locked="0"/>
    </xf>
    <xf numFmtId="0" fontId="16" fillId="4" borderId="29" xfId="0" applyFont="1" applyFill="1" applyBorder="1" applyAlignment="1" applyProtection="1">
      <alignment horizontal="center" vertical="center" wrapText="1"/>
      <protection locked="0"/>
    </xf>
    <xf numFmtId="0" fontId="17" fillId="4" borderId="30" xfId="0" applyFont="1" applyFill="1" applyBorder="1" applyAlignment="1" applyProtection="1">
      <alignment horizontal="right" vertical="center" wrapText="1"/>
      <protection locked="0"/>
    </xf>
    <xf numFmtId="0" fontId="14" fillId="4" borderId="28" xfId="0" quotePrefix="1" applyFont="1" applyFill="1" applyBorder="1" applyAlignment="1" applyProtection="1">
      <alignment horizontal="left" vertical="center" wrapText="1"/>
      <protection locked="0"/>
    </xf>
    <xf numFmtId="0" fontId="13" fillId="4" borderId="28" xfId="0" applyFont="1" applyFill="1" applyBorder="1" applyAlignment="1" applyProtection="1">
      <alignment horizontal="center" vertical="center" wrapText="1"/>
      <protection locked="0"/>
    </xf>
    <xf numFmtId="0" fontId="16" fillId="4" borderId="33"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right" vertical="center" wrapText="1"/>
      <protection locked="0"/>
    </xf>
    <xf numFmtId="0" fontId="19" fillId="4" borderId="28" xfId="0" applyFont="1" applyFill="1" applyBorder="1" applyAlignment="1" applyProtection="1">
      <alignment horizontal="left" vertical="center" wrapText="1"/>
      <protection locked="0"/>
    </xf>
    <xf numFmtId="0" fontId="12" fillId="4" borderId="28" xfId="0" applyFont="1" applyFill="1" applyBorder="1" applyAlignment="1" applyProtection="1">
      <alignment horizontal="left" vertical="center" wrapText="1"/>
      <protection locked="0"/>
    </xf>
    <xf numFmtId="0" fontId="14" fillId="0" borderId="37" xfId="0" quotePrefix="1" applyFont="1" applyBorder="1" applyAlignment="1" applyProtection="1">
      <alignment horizontal="center" vertical="center" wrapText="1"/>
      <protection locked="0"/>
    </xf>
    <xf numFmtId="0" fontId="13" fillId="2" borderId="0" xfId="0" applyFont="1" applyFill="1" applyAlignment="1" applyProtection="1">
      <alignment horizontal="center" vertical="center" wrapText="1"/>
      <protection locked="0"/>
    </xf>
    <xf numFmtId="0" fontId="14" fillId="0" borderId="0" xfId="0" quotePrefix="1" applyFont="1" applyAlignment="1" applyProtection="1">
      <alignment horizontal="center" vertical="center" wrapText="1"/>
      <protection locked="0"/>
    </xf>
    <xf numFmtId="0" fontId="15" fillId="4" borderId="39" xfId="0" applyFont="1" applyFill="1" applyBorder="1" applyAlignment="1" applyProtection="1">
      <alignment horizontal="center" wrapText="1"/>
      <protection locked="0"/>
    </xf>
    <xf numFmtId="164" fontId="11" fillId="0" borderId="40" xfId="0" applyNumberFormat="1" applyFont="1" applyBorder="1" applyAlignment="1" applyProtection="1">
      <alignment horizontal="center" vertical="center" wrapText="1"/>
      <protection locked="0"/>
    </xf>
    <xf numFmtId="0" fontId="16" fillId="4" borderId="41" xfId="0" applyFont="1" applyFill="1" applyBorder="1" applyAlignment="1" applyProtection="1">
      <alignment horizontal="center" vertical="center" wrapText="1"/>
      <protection locked="0"/>
    </xf>
    <xf numFmtId="0" fontId="30" fillId="9" borderId="30" xfId="0" applyFont="1" applyFill="1" applyBorder="1" applyAlignment="1" applyProtection="1">
      <alignment horizontal="right" vertical="center" wrapText="1"/>
      <protection locked="0"/>
    </xf>
    <xf numFmtId="0" fontId="44" fillId="0" borderId="0" xfId="0" applyFont="1" applyAlignment="1" applyProtection="1">
      <alignment horizontal="center" vertical="center" wrapText="1"/>
      <protection locked="0"/>
    </xf>
    <xf numFmtId="0" fontId="20" fillId="7" borderId="42" xfId="0" applyFont="1" applyFill="1" applyBorder="1" applyAlignment="1" applyProtection="1">
      <alignment horizontal="right" vertical="center" wrapText="1"/>
      <protection locked="0"/>
    </xf>
    <xf numFmtId="0" fontId="22" fillId="7" borderId="46" xfId="0" applyFont="1" applyFill="1" applyBorder="1" applyAlignment="1" applyProtection="1">
      <alignment horizontal="center" vertical="center" wrapText="1"/>
      <protection locked="0"/>
    </xf>
    <xf numFmtId="0" fontId="16" fillId="7" borderId="48" xfId="0" applyFont="1" applyFill="1" applyBorder="1" applyAlignment="1" applyProtection="1">
      <alignment horizontal="center" vertical="center" wrapText="1"/>
      <protection locked="0"/>
    </xf>
    <xf numFmtId="0" fontId="7" fillId="6" borderId="13" xfId="0" applyFont="1" applyFill="1" applyBorder="1" applyAlignment="1">
      <alignment horizontal="right" vertical="center" wrapText="1"/>
    </xf>
    <xf numFmtId="0" fontId="7" fillId="6" borderId="20" xfId="0" applyFont="1" applyFill="1" applyBorder="1" applyAlignment="1">
      <alignment horizontal="right" vertical="center" wrapText="1"/>
    </xf>
    <xf numFmtId="0" fontId="11" fillId="0" borderId="24" xfId="0" applyFont="1" applyBorder="1" applyAlignment="1">
      <alignment horizontal="right" vertical="center" wrapText="1"/>
    </xf>
    <xf numFmtId="0" fontId="11" fillId="6" borderId="28" xfId="0" applyFont="1" applyFill="1" applyBorder="1" applyAlignment="1">
      <alignment horizontal="right" vertical="center" wrapText="1"/>
    </xf>
    <xf numFmtId="0" fontId="14" fillId="0" borderId="25" xfId="0" applyFont="1" applyBorder="1" applyAlignment="1">
      <alignment horizontal="center" vertical="center" wrapText="1"/>
    </xf>
    <xf numFmtId="0" fontId="13" fillId="4" borderId="21" xfId="0" applyFont="1" applyFill="1" applyBorder="1" applyAlignment="1">
      <alignment horizontal="center" vertical="center" wrapText="1"/>
    </xf>
    <xf numFmtId="0" fontId="14" fillId="0" borderId="0" xfId="0" applyFont="1" applyAlignment="1">
      <alignment horizontal="left" vertical="center" wrapText="1"/>
    </xf>
    <xf numFmtId="0" fontId="14" fillId="0" borderId="15" xfId="0" quotePrefix="1" applyFont="1" applyBorder="1" applyAlignment="1">
      <alignment horizontal="center" vertical="center" wrapText="1"/>
    </xf>
    <xf numFmtId="0" fontId="11" fillId="0" borderId="26" xfId="0" applyFont="1" applyBorder="1" applyAlignment="1">
      <alignment horizontal="center" vertical="center" wrapText="1"/>
    </xf>
    <xf numFmtId="0" fontId="15" fillId="5" borderId="27" xfId="0" applyFont="1" applyFill="1" applyBorder="1" applyAlignment="1">
      <alignment horizontal="center" vertical="center" wrapText="1"/>
    </xf>
    <xf numFmtId="164" fontId="11" fillId="0" borderId="28" xfId="0" applyNumberFormat="1" applyFont="1" applyBorder="1" applyAlignment="1">
      <alignment horizontal="center" vertical="center" wrapText="1"/>
    </xf>
    <xf numFmtId="0" fontId="16" fillId="4" borderId="29" xfId="0" applyFont="1" applyFill="1" applyBorder="1" applyAlignment="1">
      <alignment horizontal="center" vertical="center" wrapText="1"/>
    </xf>
    <xf numFmtId="0" fontId="14" fillId="0" borderId="31" xfId="0" applyFont="1" applyBorder="1" applyAlignment="1">
      <alignment horizontal="center" vertical="center" wrapText="1"/>
    </xf>
    <xf numFmtId="0" fontId="18" fillId="4" borderId="32"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15" fillId="4" borderId="32" xfId="0" applyFont="1" applyFill="1" applyBorder="1" applyAlignment="1">
      <alignment horizontal="center" wrapText="1"/>
    </xf>
    <xf numFmtId="0" fontId="13" fillId="4" borderId="36" xfId="0" applyFont="1" applyFill="1" applyBorder="1" applyAlignment="1">
      <alignment horizontal="center" vertical="center" wrapText="1"/>
    </xf>
    <xf numFmtId="0" fontId="14" fillId="0" borderId="37" xfId="0" quotePrefix="1" applyFont="1" applyBorder="1" applyAlignment="1">
      <alignment horizontal="center" vertical="center" wrapText="1"/>
    </xf>
    <xf numFmtId="0" fontId="13" fillId="2" borderId="0" xfId="0" applyFont="1" applyFill="1" applyAlignment="1">
      <alignment horizontal="center" vertical="center" wrapText="1"/>
    </xf>
    <xf numFmtId="0" fontId="14" fillId="0" borderId="0" xfId="0" quotePrefix="1" applyFont="1" applyAlignment="1">
      <alignment horizontal="center" vertical="center" wrapText="1"/>
    </xf>
    <xf numFmtId="0" fontId="15" fillId="4" borderId="39" xfId="0" applyFont="1" applyFill="1" applyBorder="1" applyAlignment="1">
      <alignment horizontal="center" wrapText="1"/>
    </xf>
    <xf numFmtId="164" fontId="11" fillId="0" borderId="40" xfId="0" applyNumberFormat="1" applyFont="1" applyBorder="1" applyAlignment="1">
      <alignment horizontal="center" vertical="center" wrapText="1"/>
    </xf>
    <xf numFmtId="0" fontId="16" fillId="4" borderId="41" xfId="0" applyFont="1" applyFill="1" applyBorder="1" applyAlignment="1">
      <alignment horizontal="center" vertical="center" wrapText="1"/>
    </xf>
    <xf numFmtId="164" fontId="23" fillId="0" borderId="47" xfId="0" applyNumberFormat="1" applyFont="1" applyBorder="1" applyAlignment="1">
      <alignment horizontal="center" vertical="center" wrapText="1"/>
    </xf>
    <xf numFmtId="165" fontId="25" fillId="0" borderId="49" xfId="0" applyNumberFormat="1" applyFont="1" applyBorder="1" applyAlignment="1">
      <alignment horizontal="right"/>
    </xf>
    <xf numFmtId="165" fontId="25" fillId="0" borderId="49" xfId="0" applyNumberFormat="1" applyFont="1" applyBorder="1"/>
    <xf numFmtId="2" fontId="25" fillId="0" borderId="49" xfId="0" applyNumberFormat="1" applyFont="1" applyBorder="1"/>
    <xf numFmtId="0" fontId="0" fillId="0" borderId="0" xfId="0" applyAlignment="1">
      <alignment horizontal="left" vertical="top"/>
    </xf>
    <xf numFmtId="44" fontId="0" fillId="0" borderId="0" xfId="0" applyNumberFormat="1" applyAlignment="1">
      <alignment horizontal="left" vertical="top"/>
    </xf>
    <xf numFmtId="44" fontId="18" fillId="0" borderId="0" xfId="0" applyNumberFormat="1" applyFont="1" applyAlignment="1">
      <alignment horizontal="left" vertical="top"/>
    </xf>
    <xf numFmtId="0" fontId="25" fillId="0" borderId="5" xfId="0" applyFont="1" applyBorder="1"/>
    <xf numFmtId="0" fontId="25" fillId="8" borderId="5" xfId="0" applyFont="1" applyFill="1" applyBorder="1"/>
    <xf numFmtId="0" fontId="25" fillId="0" borderId="5" xfId="0" applyFont="1" applyBorder="1" applyAlignment="1">
      <alignment wrapText="1"/>
    </xf>
    <xf numFmtId="0" fontId="25" fillId="8" borderId="5" xfId="0" applyFont="1" applyFill="1" applyBorder="1" applyAlignment="1">
      <alignment wrapText="1"/>
    </xf>
    <xf numFmtId="44" fontId="25" fillId="0" borderId="5" xfId="1" applyFont="1" applyBorder="1" applyProtection="1"/>
    <xf numFmtId="44" fontId="28" fillId="0" borderId="5" xfId="1" applyFont="1" applyBorder="1" applyProtection="1"/>
    <xf numFmtId="0" fontId="35" fillId="0" borderId="5" xfId="0" applyFont="1" applyBorder="1"/>
    <xf numFmtId="44" fontId="36" fillId="0" borderId="5" xfId="0" applyNumberFormat="1" applyFont="1" applyBorder="1" applyAlignment="1">
      <alignment horizontal="right"/>
    </xf>
    <xf numFmtId="0" fontId="36" fillId="0" borderId="5" xfId="0" applyFont="1" applyBorder="1"/>
    <xf numFmtId="0" fontId="36" fillId="0" borderId="5" xfId="0" applyFont="1" applyBorder="1" applyAlignment="1">
      <alignment horizontal="right"/>
    </xf>
    <xf numFmtId="0" fontId="36" fillId="0" borderId="5" xfId="0" applyFont="1" applyBorder="1" applyAlignment="1">
      <alignment horizontal="left" vertical="top"/>
    </xf>
    <xf numFmtId="2" fontId="36" fillId="0" borderId="5" xfId="0" applyNumberFormat="1" applyFont="1" applyBorder="1" applyAlignment="1">
      <alignment horizontal="right" vertical="top"/>
    </xf>
    <xf numFmtId="0" fontId="36" fillId="0" borderId="5" xfId="0" applyFont="1" applyBorder="1" applyAlignment="1">
      <alignment horizontal="right" vertical="top"/>
    </xf>
    <xf numFmtId="165" fontId="36" fillId="0" borderId="5" xfId="0" applyNumberFormat="1" applyFont="1" applyBorder="1" applyAlignment="1">
      <alignment horizontal="right" vertical="top"/>
    </xf>
    <xf numFmtId="44" fontId="25" fillId="0" borderId="5" xfId="0" applyNumberFormat="1" applyFont="1" applyBorder="1" applyAlignment="1">
      <alignment horizontal="right"/>
    </xf>
    <xf numFmtId="165" fontId="25" fillId="0" borderId="54" xfId="0" applyNumberFormat="1" applyFont="1" applyBorder="1" applyAlignment="1">
      <alignment horizontal="right"/>
    </xf>
    <xf numFmtId="165" fontId="25" fillId="0" borderId="54" xfId="0" applyNumberFormat="1" applyFont="1" applyBorder="1"/>
    <xf numFmtId="2" fontId="25" fillId="0" borderId="54" xfId="0" applyNumberFormat="1" applyFont="1" applyBorder="1"/>
    <xf numFmtId="0" fontId="41" fillId="6" borderId="13" xfId="0" applyFont="1" applyFill="1" applyBorder="1" applyAlignment="1">
      <alignment horizontal="right" vertical="center" wrapText="1"/>
    </xf>
    <xf numFmtId="0" fontId="41" fillId="6" borderId="20" xfId="0" applyFont="1" applyFill="1" applyBorder="1" applyAlignment="1">
      <alignment horizontal="right" vertical="center" wrapText="1"/>
    </xf>
    <xf numFmtId="0" fontId="13" fillId="0" borderId="0" xfId="0" applyFont="1" applyAlignment="1" applyProtection="1">
      <alignment horizontal="center" vertical="center" wrapText="1"/>
      <protection locked="0"/>
    </xf>
    <xf numFmtId="0" fontId="32" fillId="0" borderId="0" xfId="0" applyFont="1" applyAlignment="1" applyProtection="1">
      <alignment horizontal="left" vertical="center" wrapText="1"/>
      <protection locked="0"/>
    </xf>
    <xf numFmtId="0" fontId="12" fillId="4" borderId="24" xfId="0" applyFont="1" applyFill="1" applyBorder="1" applyAlignment="1">
      <alignment horizontal="left" vertical="center" wrapText="1"/>
    </xf>
    <xf numFmtId="0" fontId="13" fillId="4" borderId="24" xfId="0" applyFont="1" applyFill="1" applyBorder="1" applyAlignment="1">
      <alignment horizontal="center" vertical="center" wrapText="1"/>
    </xf>
    <xf numFmtId="0" fontId="13" fillId="0" borderId="21" xfId="0" applyFont="1" applyBorder="1" applyAlignment="1">
      <alignment horizontal="center" vertical="center" wrapText="1"/>
    </xf>
    <xf numFmtId="0" fontId="14" fillId="4" borderId="28" xfId="0" quotePrefix="1" applyFont="1" applyFill="1" applyBorder="1" applyAlignment="1">
      <alignment horizontal="left" vertical="center" wrapText="1"/>
    </xf>
    <xf numFmtId="0" fontId="13" fillId="4" borderId="28" xfId="0" applyFont="1" applyFill="1" applyBorder="1" applyAlignment="1">
      <alignment horizontal="center" vertical="center" wrapText="1"/>
    </xf>
    <xf numFmtId="0" fontId="19" fillId="4" borderId="28" xfId="0" applyFont="1" applyFill="1" applyBorder="1" applyAlignment="1">
      <alignment horizontal="left" vertical="center" wrapText="1"/>
    </xf>
    <xf numFmtId="0" fontId="13" fillId="0" borderId="36" xfId="0" applyFont="1" applyBorder="1" applyAlignment="1">
      <alignment horizontal="center" vertical="center" wrapText="1"/>
    </xf>
    <xf numFmtId="0" fontId="25" fillId="0" borderId="54" xfId="0" applyFont="1" applyBorder="1"/>
    <xf numFmtId="0" fontId="13" fillId="4" borderId="0" xfId="0" applyFont="1" applyFill="1" applyAlignment="1" applyProtection="1">
      <alignment horizontal="center" vertical="center" wrapText="1"/>
      <protection locked="0"/>
    </xf>
    <xf numFmtId="2" fontId="14" fillId="0" borderId="0" xfId="0" applyNumberFormat="1" applyFont="1" applyAlignment="1" applyProtection="1">
      <alignment horizontal="left" vertical="center" wrapText="1"/>
      <protection locked="0"/>
    </xf>
    <xf numFmtId="0" fontId="14" fillId="0" borderId="0" xfId="0" applyFont="1" applyAlignment="1">
      <alignment horizontal="center" vertical="center" wrapText="1"/>
    </xf>
    <xf numFmtId="0" fontId="14" fillId="0" borderId="0" xfId="0" applyFont="1" applyAlignment="1" applyProtection="1">
      <alignment horizontal="center" vertical="center" wrapText="1"/>
      <protection locked="0"/>
    </xf>
    <xf numFmtId="2" fontId="14" fillId="0" borderId="0" xfId="0" applyNumberFormat="1" applyFont="1" applyAlignment="1">
      <alignment horizontal="center" vertical="center" wrapText="1"/>
    </xf>
    <xf numFmtId="2" fontId="14" fillId="0" borderId="0" xfId="0" applyNumberFormat="1" applyFont="1" applyAlignment="1" applyProtection="1">
      <alignment horizontal="center" vertical="center" wrapText="1"/>
      <protection locked="0"/>
    </xf>
    <xf numFmtId="165" fontId="25" fillId="0" borderId="0" xfId="0" applyNumberFormat="1" applyFont="1" applyAlignment="1">
      <alignment horizontal="right"/>
    </xf>
    <xf numFmtId="0" fontId="25" fillId="0" borderId="49" xfId="0" applyFont="1" applyBorder="1" applyAlignment="1">
      <alignment horizontal="center"/>
    </xf>
    <xf numFmtId="0" fontId="25" fillId="0" borderId="52" xfId="0" applyFont="1" applyBorder="1" applyAlignment="1" applyProtection="1">
      <alignment horizontal="center"/>
      <protection locked="0"/>
    </xf>
    <xf numFmtId="0" fontId="25" fillId="0" borderId="53" xfId="0" applyFont="1" applyBorder="1" applyAlignment="1" applyProtection="1">
      <alignment horizontal="center"/>
      <protection locked="0"/>
    </xf>
    <xf numFmtId="0" fontId="18" fillId="0" borderId="0" xfId="0" applyFont="1" applyAlignment="1">
      <alignment horizontal="left" vertical="top"/>
    </xf>
    <xf numFmtId="0" fontId="26" fillId="0" borderId="0" xfId="0" applyFont="1" applyAlignment="1">
      <alignment horizontal="center" vertical="top"/>
    </xf>
    <xf numFmtId="0" fontId="0" fillId="0" borderId="0" xfId="0" applyAlignment="1">
      <alignment horizontal="left" vertical="top"/>
    </xf>
    <xf numFmtId="0" fontId="0" fillId="0" borderId="0" xfId="0" applyAlignment="1">
      <alignment horizontal="left" vertical="top" wrapText="1"/>
    </xf>
    <xf numFmtId="44" fontId="0" fillId="0" borderId="0" xfId="0" applyNumberFormat="1" applyAlignment="1">
      <alignment horizontal="center" vertical="center"/>
    </xf>
    <xf numFmtId="0" fontId="15" fillId="7" borderId="43" xfId="0" applyFont="1" applyFill="1" applyBorder="1" applyAlignment="1" applyProtection="1">
      <alignment horizontal="center" vertical="center" wrapText="1"/>
      <protection locked="0"/>
    </xf>
    <xf numFmtId="0" fontId="15" fillId="7" borderId="44" xfId="0" applyFont="1" applyFill="1" applyBorder="1" applyAlignment="1" applyProtection="1">
      <alignment horizontal="center" vertical="center" wrapText="1"/>
      <protection locked="0"/>
    </xf>
    <xf numFmtId="0" fontId="15" fillId="7" borderId="45" xfId="0" applyFont="1" applyFill="1" applyBorder="1" applyAlignment="1" applyProtection="1">
      <alignment horizontal="center" vertical="center" wrapText="1"/>
      <protection locked="0"/>
    </xf>
    <xf numFmtId="0" fontId="31" fillId="0" borderId="3" xfId="0" applyFont="1" applyBorder="1" applyAlignment="1" applyProtection="1">
      <alignment horizontal="left" vertical="center" wrapText="1"/>
      <protection locked="0"/>
    </xf>
    <xf numFmtId="0" fontId="2" fillId="2" borderId="0" xfId="0" applyFont="1" applyFill="1" applyAlignment="1" applyProtection="1">
      <alignment horizontal="left" vertical="center" textRotation="90" wrapText="1"/>
      <protection locked="0"/>
    </xf>
    <xf numFmtId="0" fontId="2" fillId="2" borderId="34" xfId="0" applyFont="1" applyFill="1" applyBorder="1" applyAlignment="1" applyProtection="1">
      <alignment horizontal="left" vertical="center" textRotation="90" wrapText="1"/>
      <protection locked="0"/>
    </xf>
    <xf numFmtId="0" fontId="45" fillId="0" borderId="0" xfId="0" applyFont="1" applyAlignment="1" applyProtection="1">
      <alignment horizontal="center" vertical="top" wrapText="1"/>
      <protection locked="0"/>
    </xf>
    <xf numFmtId="0" fontId="45" fillId="0" borderId="1" xfId="0" applyFont="1" applyBorder="1" applyAlignment="1" applyProtection="1">
      <alignment horizontal="center" vertical="top" wrapText="1"/>
      <protection locked="0"/>
    </xf>
    <xf numFmtId="0" fontId="4" fillId="0" borderId="9" xfId="0" applyFont="1" applyBorder="1" applyAlignment="1" applyProtection="1">
      <alignment horizontal="left" vertical="center" wrapText="1"/>
      <protection locked="0"/>
    </xf>
    <xf numFmtId="0" fontId="4" fillId="0" borderId="57"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3" borderId="9"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8" fillId="0" borderId="14" xfId="0" applyFont="1" applyBorder="1" applyAlignment="1" applyProtection="1">
      <alignment horizontal="center" wrapText="1"/>
      <protection locked="0"/>
    </xf>
    <xf numFmtId="0" fontId="8" fillId="0" borderId="0" xfId="0" applyFont="1" applyAlignment="1" applyProtection="1">
      <alignment horizontal="center" wrapText="1"/>
      <protection locked="0"/>
    </xf>
    <xf numFmtId="0" fontId="8" fillId="0" borderId="15" xfId="0" applyFont="1" applyBorder="1" applyAlignment="1" applyProtection="1">
      <alignment horizontal="center" wrapText="1"/>
      <protection locked="0"/>
    </xf>
    <xf numFmtId="0" fontId="8" fillId="0" borderId="17" xfId="0" applyFont="1" applyBorder="1" applyAlignment="1" applyProtection="1">
      <alignment horizontal="center" wrapText="1"/>
      <protection locked="0"/>
    </xf>
    <xf numFmtId="0" fontId="8" fillId="0" borderId="18" xfId="0" applyFont="1" applyBorder="1" applyAlignment="1" applyProtection="1">
      <alignment horizontal="center" wrapText="1"/>
      <protection locked="0"/>
    </xf>
    <xf numFmtId="0" fontId="9" fillId="0" borderId="0" xfId="0" applyFont="1" applyAlignment="1" applyProtection="1">
      <alignment horizontal="center" vertical="top" wrapText="1"/>
      <protection locked="0"/>
    </xf>
    <xf numFmtId="0" fontId="9" fillId="0" borderId="15" xfId="0" applyFont="1" applyBorder="1" applyAlignment="1" applyProtection="1">
      <alignment horizontal="center" vertical="top" wrapText="1"/>
      <protection locked="0"/>
    </xf>
    <xf numFmtId="0" fontId="9" fillId="0" borderId="11" xfId="0" applyFont="1" applyBorder="1" applyAlignment="1" applyProtection="1">
      <alignment horizontal="center" vertical="top" wrapText="1"/>
      <protection locked="0"/>
    </xf>
    <xf numFmtId="0" fontId="26" fillId="0" borderId="0" xfId="0" applyFont="1" applyAlignment="1" applyProtection="1">
      <alignment horizontal="center" vertical="top"/>
      <protection locked="0"/>
    </xf>
    <xf numFmtId="0" fontId="0" fillId="0" borderId="0" xfId="0" applyAlignment="1" applyProtection="1">
      <alignment horizontal="left" vertical="top"/>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4" fillId="0" borderId="63" xfId="0" applyFont="1" applyBorder="1" applyAlignment="1" applyProtection="1">
      <alignment horizontal="center" vertical="center" wrapText="1"/>
      <protection locked="0"/>
    </xf>
    <xf numFmtId="0" fontId="4" fillId="3" borderId="7"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2" fillId="3" borderId="7" xfId="0" applyFont="1" applyFill="1" applyBorder="1" applyAlignment="1" applyProtection="1">
      <alignment horizontal="center" vertical="center" wrapText="1"/>
      <protection locked="0"/>
    </xf>
    <xf numFmtId="0" fontId="42" fillId="3" borderId="8" xfId="0" applyFont="1" applyFill="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4" fillId="3" borderId="9"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4" fillId="3" borderId="65" xfId="0" applyFont="1" applyFill="1" applyBorder="1" applyAlignment="1" applyProtection="1">
      <alignment horizontal="center" vertical="center" wrapText="1"/>
      <protection locked="0"/>
    </xf>
  </cellXfs>
  <cellStyles count="5">
    <cellStyle name="Monétaire" xfId="1" builtinId="4"/>
    <cellStyle name="Monétaire 2" xfId="4" xr:uid="{0100B4C2-F026-41DC-A08B-EFEEE44A8FC1}"/>
    <cellStyle name="Normal" xfId="0" builtinId="0"/>
    <cellStyle name="Normal 2" xfId="2" xr:uid="{9AEC49A0-C773-4439-B286-02E8FFE94827}"/>
    <cellStyle name="Normal 3" xfId="3" xr:uid="{09504577-4339-4CE6-9806-16BBF4FD62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12</xdr:col>
      <xdr:colOff>3408438</xdr:colOff>
      <xdr:row>0</xdr:row>
      <xdr:rowOff>0</xdr:rowOff>
    </xdr:from>
    <xdr:ext cx="304800" cy="159385"/>
    <xdr:sp macro="" textlink="">
      <xdr:nvSpPr>
        <xdr:cNvPr id="14" name="Shape 15">
          <a:extLst>
            <a:ext uri="{FF2B5EF4-FFF2-40B4-BE49-F238E27FC236}">
              <a16:creationId xmlns:a16="http://schemas.microsoft.com/office/drawing/2014/main" id="{001D6920-51A3-4EB7-8506-9501F7EA6B76}"/>
            </a:ext>
          </a:extLst>
        </xdr:cNvPr>
        <xdr:cNvSpPr/>
      </xdr:nvSpPr>
      <xdr:spPr>
        <a:xfrm>
          <a:off x="12685788" y="0"/>
          <a:ext cx="304800" cy="159385"/>
        </a:xfrm>
        <a:custGeom>
          <a:avLst/>
          <a:gdLst/>
          <a:ahLst/>
          <a:cxnLst/>
          <a:rect l="0" t="0" r="0" b="0"/>
          <a:pathLst>
            <a:path w="304800" h="159385">
              <a:moveTo>
                <a:pt x="304330" y="0"/>
              </a:moveTo>
              <a:lnTo>
                <a:pt x="0" y="0"/>
              </a:lnTo>
              <a:lnTo>
                <a:pt x="9636" y="11755"/>
              </a:lnTo>
              <a:lnTo>
                <a:pt x="41991" y="49601"/>
              </a:lnTo>
              <a:lnTo>
                <a:pt x="75138" y="86791"/>
              </a:lnTo>
              <a:lnTo>
                <a:pt x="109068" y="123309"/>
              </a:lnTo>
              <a:lnTo>
                <a:pt x="143773" y="159142"/>
              </a:lnTo>
              <a:lnTo>
                <a:pt x="304330" y="0"/>
              </a:lnTo>
              <a:close/>
            </a:path>
          </a:pathLst>
        </a:custGeom>
        <a:solidFill>
          <a:srgbClr val="95C11F">
            <a:alpha val="9999"/>
          </a:srgbClr>
        </a:solidFill>
      </xdr:spPr>
    </xdr:sp>
    <xdr:clientData/>
  </xdr:oneCellAnchor>
  <xdr:twoCellAnchor>
    <xdr:from>
      <xdr:col>11</xdr:col>
      <xdr:colOff>71435</xdr:colOff>
      <xdr:row>9</xdr:row>
      <xdr:rowOff>83342</xdr:rowOff>
    </xdr:from>
    <xdr:to>
      <xdr:col>12</xdr:col>
      <xdr:colOff>690560</xdr:colOff>
      <xdr:row>9</xdr:row>
      <xdr:rowOff>207165</xdr:rowOff>
    </xdr:to>
    <xdr:sp macro="" textlink="">
      <xdr:nvSpPr>
        <xdr:cNvPr id="15" name="Triangle isocèle 14">
          <a:extLst>
            <a:ext uri="{FF2B5EF4-FFF2-40B4-BE49-F238E27FC236}">
              <a16:creationId xmlns:a16="http://schemas.microsoft.com/office/drawing/2014/main" id="{A29C8460-7AC8-4CC8-83F1-BA3F7653DEE7}"/>
            </a:ext>
          </a:extLst>
        </xdr:cNvPr>
        <xdr:cNvSpPr/>
      </xdr:nvSpPr>
      <xdr:spPr>
        <a:xfrm rot="10800000">
          <a:off x="10739435" y="2464592"/>
          <a:ext cx="1889125" cy="123823"/>
        </a:xfrm>
        <a:prstGeom prst="triangle">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11</xdr:col>
      <xdr:colOff>785813</xdr:colOff>
      <xdr:row>0</xdr:row>
      <xdr:rowOff>666750</xdr:rowOff>
    </xdr:from>
    <xdr:to>
      <xdr:col>14</xdr:col>
      <xdr:colOff>14286</xdr:colOff>
      <xdr:row>5</xdr:row>
      <xdr:rowOff>0</xdr:rowOff>
    </xdr:to>
    <xdr:sp macro="" textlink="">
      <xdr:nvSpPr>
        <xdr:cNvPr id="16" name="Rectangle : carré corné 15">
          <a:extLst>
            <a:ext uri="{FF2B5EF4-FFF2-40B4-BE49-F238E27FC236}">
              <a16:creationId xmlns:a16="http://schemas.microsoft.com/office/drawing/2014/main" id="{1AE648F0-9CB0-4521-9282-0F76630D49CD}"/>
            </a:ext>
          </a:extLst>
        </xdr:cNvPr>
        <xdr:cNvSpPr/>
      </xdr:nvSpPr>
      <xdr:spPr>
        <a:xfrm>
          <a:off x="11453813" y="666750"/>
          <a:ext cx="1774823" cy="844550"/>
        </a:xfrm>
        <a:prstGeom prst="foldedCorner">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r>
            <a:rPr lang="fr-FR" sz="1200" b="1">
              <a:solidFill>
                <a:schemeClr val="lt1"/>
              </a:solidFill>
              <a:effectLst/>
              <a:latin typeface="+mn-lt"/>
              <a:ea typeface="+mn-ea"/>
              <a:cs typeface="+mn-cs"/>
            </a:rPr>
            <a:t>CDI - Non</a:t>
          </a:r>
          <a:r>
            <a:rPr lang="fr-FR" sz="1200" b="1" baseline="0">
              <a:solidFill>
                <a:schemeClr val="lt1"/>
              </a:solidFill>
              <a:effectLst/>
              <a:latin typeface="+mn-lt"/>
              <a:ea typeface="+mn-ea"/>
              <a:cs typeface="+mn-cs"/>
            </a:rPr>
            <a:t> Cadre - Grille Générale</a:t>
          </a:r>
          <a:r>
            <a:rPr lang="fr-FR" sz="1200" b="1">
              <a:solidFill>
                <a:schemeClr val="lt1"/>
              </a:solidFill>
              <a:effectLst/>
              <a:latin typeface="+mn-lt"/>
              <a:ea typeface="+mn-ea"/>
              <a:cs typeface="+mn-cs"/>
            </a:rPr>
            <a:t> </a:t>
          </a:r>
          <a:endParaRPr lang="fr-FR" sz="1400">
            <a:effectLst/>
          </a:endParaRPr>
        </a:p>
      </xdr:txBody>
    </xdr:sp>
    <xdr:clientData/>
  </xdr:twoCellAnchor>
  <xdr:twoCellAnchor>
    <xdr:from>
      <xdr:col>6</xdr:col>
      <xdr:colOff>47624</xdr:colOff>
      <xdr:row>9</xdr:row>
      <xdr:rowOff>59530</xdr:rowOff>
    </xdr:from>
    <xdr:to>
      <xdr:col>9</xdr:col>
      <xdr:colOff>9523</xdr:colOff>
      <xdr:row>9</xdr:row>
      <xdr:rowOff>226217</xdr:rowOff>
    </xdr:to>
    <xdr:sp macro="" textlink="">
      <xdr:nvSpPr>
        <xdr:cNvPr id="17" name="Triangle isocèle 16">
          <a:extLst>
            <a:ext uri="{FF2B5EF4-FFF2-40B4-BE49-F238E27FC236}">
              <a16:creationId xmlns:a16="http://schemas.microsoft.com/office/drawing/2014/main" id="{5BEA3637-8011-444B-BF5D-293B929B20FE}"/>
            </a:ext>
          </a:extLst>
        </xdr:cNvPr>
        <xdr:cNvSpPr/>
      </xdr:nvSpPr>
      <xdr:spPr>
        <a:xfrm rot="10800000">
          <a:off x="7477124" y="2440780"/>
          <a:ext cx="1974849" cy="166687"/>
        </a:xfrm>
        <a:prstGeom prst="triangle">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3408438</xdr:colOff>
      <xdr:row>0</xdr:row>
      <xdr:rowOff>0</xdr:rowOff>
    </xdr:from>
    <xdr:ext cx="304800" cy="159385"/>
    <xdr:sp macro="" textlink="">
      <xdr:nvSpPr>
        <xdr:cNvPr id="2" name="Shape 15">
          <a:extLst>
            <a:ext uri="{FF2B5EF4-FFF2-40B4-BE49-F238E27FC236}">
              <a16:creationId xmlns:a16="http://schemas.microsoft.com/office/drawing/2014/main" id="{B3D25274-7FAF-4AC0-9CB8-1FB72FAF0331}"/>
            </a:ext>
          </a:extLst>
        </xdr:cNvPr>
        <xdr:cNvSpPr/>
      </xdr:nvSpPr>
      <xdr:spPr>
        <a:xfrm>
          <a:off x="13771638" y="0"/>
          <a:ext cx="304800" cy="159385"/>
        </a:xfrm>
        <a:custGeom>
          <a:avLst/>
          <a:gdLst/>
          <a:ahLst/>
          <a:cxnLst/>
          <a:rect l="0" t="0" r="0" b="0"/>
          <a:pathLst>
            <a:path w="304800" h="159385">
              <a:moveTo>
                <a:pt x="304330" y="0"/>
              </a:moveTo>
              <a:lnTo>
                <a:pt x="0" y="0"/>
              </a:lnTo>
              <a:lnTo>
                <a:pt x="9636" y="11755"/>
              </a:lnTo>
              <a:lnTo>
                <a:pt x="41991" y="49601"/>
              </a:lnTo>
              <a:lnTo>
                <a:pt x="75138" y="86791"/>
              </a:lnTo>
              <a:lnTo>
                <a:pt x="109068" y="123309"/>
              </a:lnTo>
              <a:lnTo>
                <a:pt x="143773" y="159142"/>
              </a:lnTo>
              <a:lnTo>
                <a:pt x="304330" y="0"/>
              </a:lnTo>
              <a:close/>
            </a:path>
          </a:pathLst>
        </a:custGeom>
        <a:solidFill>
          <a:srgbClr val="95C11F">
            <a:alpha val="9999"/>
          </a:srgbClr>
        </a:solidFill>
      </xdr:spPr>
    </xdr:sp>
    <xdr:clientData/>
  </xdr:oneCellAnchor>
  <xdr:twoCellAnchor>
    <xdr:from>
      <xdr:col>11</xdr:col>
      <xdr:colOff>71435</xdr:colOff>
      <xdr:row>9</xdr:row>
      <xdr:rowOff>83342</xdr:rowOff>
    </xdr:from>
    <xdr:to>
      <xdr:col>12</xdr:col>
      <xdr:colOff>690560</xdr:colOff>
      <xdr:row>9</xdr:row>
      <xdr:rowOff>207165</xdr:rowOff>
    </xdr:to>
    <xdr:sp macro="" textlink="">
      <xdr:nvSpPr>
        <xdr:cNvPr id="3" name="Triangle isocèle 2">
          <a:extLst>
            <a:ext uri="{FF2B5EF4-FFF2-40B4-BE49-F238E27FC236}">
              <a16:creationId xmlns:a16="http://schemas.microsoft.com/office/drawing/2014/main" id="{48985AEB-342F-42BC-A0C1-37ECFF2B2367}"/>
            </a:ext>
          </a:extLst>
        </xdr:cNvPr>
        <xdr:cNvSpPr/>
      </xdr:nvSpPr>
      <xdr:spPr>
        <a:xfrm rot="10800000">
          <a:off x="11661455" y="2453162"/>
          <a:ext cx="1990725" cy="123823"/>
        </a:xfrm>
        <a:prstGeom prst="triangle">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11</xdr:col>
      <xdr:colOff>785813</xdr:colOff>
      <xdr:row>0</xdr:row>
      <xdr:rowOff>666750</xdr:rowOff>
    </xdr:from>
    <xdr:to>
      <xdr:col>14</xdr:col>
      <xdr:colOff>14286</xdr:colOff>
      <xdr:row>5</xdr:row>
      <xdr:rowOff>0</xdr:rowOff>
    </xdr:to>
    <xdr:sp macro="" textlink="">
      <xdr:nvSpPr>
        <xdr:cNvPr id="4" name="Rectangle : carré corné 3">
          <a:extLst>
            <a:ext uri="{FF2B5EF4-FFF2-40B4-BE49-F238E27FC236}">
              <a16:creationId xmlns:a16="http://schemas.microsoft.com/office/drawing/2014/main" id="{95FA9F34-4149-4E1D-94FA-417CCBA56D7A}"/>
            </a:ext>
          </a:extLst>
        </xdr:cNvPr>
        <xdr:cNvSpPr/>
      </xdr:nvSpPr>
      <xdr:spPr>
        <a:xfrm>
          <a:off x="12375833" y="666750"/>
          <a:ext cx="1979293" cy="842010"/>
        </a:xfrm>
        <a:prstGeom prst="foldedCorner">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r>
            <a:rPr lang="fr-FR" sz="1200" b="1">
              <a:solidFill>
                <a:schemeClr val="lt1"/>
              </a:solidFill>
              <a:effectLst/>
              <a:latin typeface="+mn-lt"/>
              <a:ea typeface="+mn-ea"/>
              <a:cs typeface="+mn-cs"/>
            </a:rPr>
            <a:t>CDI - </a:t>
          </a:r>
          <a:r>
            <a:rPr lang="fr-FR" sz="1200" b="1" baseline="0">
              <a:solidFill>
                <a:schemeClr val="lt1"/>
              </a:solidFill>
              <a:effectLst/>
              <a:latin typeface="+mn-lt"/>
              <a:ea typeface="+mn-ea"/>
              <a:cs typeface="+mn-cs"/>
            </a:rPr>
            <a:t>Cadre à l'heure</a:t>
          </a:r>
          <a:r>
            <a:rPr lang="fr-FR" sz="1200" b="1">
              <a:solidFill>
                <a:schemeClr val="lt1"/>
              </a:solidFill>
              <a:effectLst/>
              <a:latin typeface="+mn-lt"/>
              <a:ea typeface="+mn-ea"/>
              <a:cs typeface="+mn-cs"/>
            </a:rPr>
            <a:t> </a:t>
          </a:r>
          <a:endParaRPr lang="fr-FR" sz="1400">
            <a:effectLst/>
          </a:endParaRPr>
        </a:p>
      </xdr:txBody>
    </xdr:sp>
    <xdr:clientData/>
  </xdr:twoCellAnchor>
  <xdr:twoCellAnchor>
    <xdr:from>
      <xdr:col>6</xdr:col>
      <xdr:colOff>47624</xdr:colOff>
      <xdr:row>9</xdr:row>
      <xdr:rowOff>59530</xdr:rowOff>
    </xdr:from>
    <xdr:to>
      <xdr:col>9</xdr:col>
      <xdr:colOff>9523</xdr:colOff>
      <xdr:row>9</xdr:row>
      <xdr:rowOff>226217</xdr:rowOff>
    </xdr:to>
    <xdr:sp macro="" textlink="">
      <xdr:nvSpPr>
        <xdr:cNvPr id="5" name="Triangle isocèle 4">
          <a:extLst>
            <a:ext uri="{FF2B5EF4-FFF2-40B4-BE49-F238E27FC236}">
              <a16:creationId xmlns:a16="http://schemas.microsoft.com/office/drawing/2014/main" id="{D727A3EE-CBDD-44C9-93C6-82088D2ED4CB}"/>
            </a:ext>
          </a:extLst>
        </xdr:cNvPr>
        <xdr:cNvSpPr/>
      </xdr:nvSpPr>
      <xdr:spPr>
        <a:xfrm rot="10800000">
          <a:off x="8140064" y="2429350"/>
          <a:ext cx="2133599" cy="166687"/>
        </a:xfrm>
        <a:prstGeom prst="triangle">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12</xdr:col>
      <xdr:colOff>3408438</xdr:colOff>
      <xdr:row>0</xdr:row>
      <xdr:rowOff>0</xdr:rowOff>
    </xdr:from>
    <xdr:ext cx="304800" cy="159385"/>
    <xdr:sp macro="" textlink="">
      <xdr:nvSpPr>
        <xdr:cNvPr id="2" name="Shape 15">
          <a:extLst>
            <a:ext uri="{FF2B5EF4-FFF2-40B4-BE49-F238E27FC236}">
              <a16:creationId xmlns:a16="http://schemas.microsoft.com/office/drawing/2014/main" id="{9750B3AA-0AA4-4C3F-B8D3-AAAD73AAD78F}"/>
            </a:ext>
          </a:extLst>
        </xdr:cNvPr>
        <xdr:cNvSpPr/>
      </xdr:nvSpPr>
      <xdr:spPr>
        <a:xfrm>
          <a:off x="13775448" y="0"/>
          <a:ext cx="304800" cy="159385"/>
        </a:xfrm>
        <a:custGeom>
          <a:avLst/>
          <a:gdLst/>
          <a:ahLst/>
          <a:cxnLst/>
          <a:rect l="0" t="0" r="0" b="0"/>
          <a:pathLst>
            <a:path w="304800" h="159385">
              <a:moveTo>
                <a:pt x="304330" y="0"/>
              </a:moveTo>
              <a:lnTo>
                <a:pt x="0" y="0"/>
              </a:lnTo>
              <a:lnTo>
                <a:pt x="9636" y="11755"/>
              </a:lnTo>
              <a:lnTo>
                <a:pt x="41991" y="49601"/>
              </a:lnTo>
              <a:lnTo>
                <a:pt x="75138" y="86791"/>
              </a:lnTo>
              <a:lnTo>
                <a:pt x="109068" y="123309"/>
              </a:lnTo>
              <a:lnTo>
                <a:pt x="143773" y="159142"/>
              </a:lnTo>
              <a:lnTo>
                <a:pt x="304330" y="0"/>
              </a:lnTo>
              <a:close/>
            </a:path>
          </a:pathLst>
        </a:custGeom>
        <a:solidFill>
          <a:srgbClr val="95C11F">
            <a:alpha val="9999"/>
          </a:srgbClr>
        </a:solidFill>
      </xdr:spPr>
    </xdr:sp>
    <xdr:clientData/>
  </xdr:oneCellAnchor>
  <xdr:twoCellAnchor>
    <xdr:from>
      <xdr:col>11</xdr:col>
      <xdr:colOff>71435</xdr:colOff>
      <xdr:row>9</xdr:row>
      <xdr:rowOff>83342</xdr:rowOff>
    </xdr:from>
    <xdr:to>
      <xdr:col>12</xdr:col>
      <xdr:colOff>690560</xdr:colOff>
      <xdr:row>9</xdr:row>
      <xdr:rowOff>207165</xdr:rowOff>
    </xdr:to>
    <xdr:sp macro="" textlink="">
      <xdr:nvSpPr>
        <xdr:cNvPr id="3" name="Triangle isocèle 2">
          <a:extLst>
            <a:ext uri="{FF2B5EF4-FFF2-40B4-BE49-F238E27FC236}">
              <a16:creationId xmlns:a16="http://schemas.microsoft.com/office/drawing/2014/main" id="{A45DDC88-CA8C-4A01-9475-9CE3457F9762}"/>
            </a:ext>
          </a:extLst>
        </xdr:cNvPr>
        <xdr:cNvSpPr/>
      </xdr:nvSpPr>
      <xdr:spPr>
        <a:xfrm rot="10800000">
          <a:off x="11661455" y="3352322"/>
          <a:ext cx="1994535" cy="125728"/>
        </a:xfrm>
        <a:prstGeom prst="triangle">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11</xdr:col>
      <xdr:colOff>785813</xdr:colOff>
      <xdr:row>0</xdr:row>
      <xdr:rowOff>666750</xdr:rowOff>
    </xdr:from>
    <xdr:to>
      <xdr:col>14</xdr:col>
      <xdr:colOff>14286</xdr:colOff>
      <xdr:row>5</xdr:row>
      <xdr:rowOff>0</xdr:rowOff>
    </xdr:to>
    <xdr:sp macro="" textlink="">
      <xdr:nvSpPr>
        <xdr:cNvPr id="4" name="Rectangle : carré corné 3">
          <a:extLst>
            <a:ext uri="{FF2B5EF4-FFF2-40B4-BE49-F238E27FC236}">
              <a16:creationId xmlns:a16="http://schemas.microsoft.com/office/drawing/2014/main" id="{8F002416-2B50-4645-A53A-B231E37FFAED}"/>
            </a:ext>
          </a:extLst>
        </xdr:cNvPr>
        <xdr:cNvSpPr/>
      </xdr:nvSpPr>
      <xdr:spPr>
        <a:xfrm>
          <a:off x="12373928" y="662940"/>
          <a:ext cx="1988818" cy="1289685"/>
        </a:xfrm>
        <a:prstGeom prst="foldedCorner">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r>
            <a:rPr lang="fr-FR" sz="1200" b="1">
              <a:solidFill>
                <a:schemeClr val="lt1"/>
              </a:solidFill>
              <a:effectLst/>
              <a:latin typeface="+mn-lt"/>
              <a:ea typeface="+mn-ea"/>
              <a:cs typeface="+mn-cs"/>
            </a:rPr>
            <a:t>CDI - </a:t>
          </a:r>
          <a:r>
            <a:rPr lang="fr-FR" sz="1200" b="1" baseline="0">
              <a:solidFill>
                <a:schemeClr val="lt1"/>
              </a:solidFill>
              <a:effectLst/>
              <a:latin typeface="+mn-lt"/>
              <a:ea typeface="+mn-ea"/>
              <a:cs typeface="+mn-cs"/>
            </a:rPr>
            <a:t>Cadre au forfait-jours Temps plein</a:t>
          </a:r>
          <a:r>
            <a:rPr lang="fr-FR" sz="1200" b="1">
              <a:solidFill>
                <a:schemeClr val="lt1"/>
              </a:solidFill>
              <a:effectLst/>
              <a:latin typeface="+mn-lt"/>
              <a:ea typeface="+mn-ea"/>
              <a:cs typeface="+mn-cs"/>
            </a:rPr>
            <a:t> </a:t>
          </a:r>
          <a:endParaRPr lang="fr-FR" sz="1400">
            <a:effectLst/>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12</xdr:col>
      <xdr:colOff>3408438</xdr:colOff>
      <xdr:row>0</xdr:row>
      <xdr:rowOff>0</xdr:rowOff>
    </xdr:from>
    <xdr:ext cx="304800" cy="159385"/>
    <xdr:sp macro="" textlink="">
      <xdr:nvSpPr>
        <xdr:cNvPr id="2" name="Shape 15">
          <a:extLst>
            <a:ext uri="{FF2B5EF4-FFF2-40B4-BE49-F238E27FC236}">
              <a16:creationId xmlns:a16="http://schemas.microsoft.com/office/drawing/2014/main" id="{9873F0C2-D1D4-4572-91EC-F84B1B747446}"/>
            </a:ext>
          </a:extLst>
        </xdr:cNvPr>
        <xdr:cNvSpPr/>
      </xdr:nvSpPr>
      <xdr:spPr>
        <a:xfrm>
          <a:off x="13775448" y="0"/>
          <a:ext cx="304800" cy="159385"/>
        </a:xfrm>
        <a:custGeom>
          <a:avLst/>
          <a:gdLst/>
          <a:ahLst/>
          <a:cxnLst/>
          <a:rect l="0" t="0" r="0" b="0"/>
          <a:pathLst>
            <a:path w="304800" h="159385">
              <a:moveTo>
                <a:pt x="304330" y="0"/>
              </a:moveTo>
              <a:lnTo>
                <a:pt x="0" y="0"/>
              </a:lnTo>
              <a:lnTo>
                <a:pt x="9636" y="11755"/>
              </a:lnTo>
              <a:lnTo>
                <a:pt x="41991" y="49601"/>
              </a:lnTo>
              <a:lnTo>
                <a:pt x="75138" y="86791"/>
              </a:lnTo>
              <a:lnTo>
                <a:pt x="109068" y="123309"/>
              </a:lnTo>
              <a:lnTo>
                <a:pt x="143773" y="159142"/>
              </a:lnTo>
              <a:lnTo>
                <a:pt x="304330" y="0"/>
              </a:lnTo>
              <a:close/>
            </a:path>
          </a:pathLst>
        </a:custGeom>
        <a:solidFill>
          <a:srgbClr val="95C11F">
            <a:alpha val="9999"/>
          </a:srgbClr>
        </a:solidFill>
      </xdr:spPr>
    </xdr:sp>
    <xdr:clientData/>
  </xdr:oneCellAnchor>
  <xdr:twoCellAnchor>
    <xdr:from>
      <xdr:col>11</xdr:col>
      <xdr:colOff>71435</xdr:colOff>
      <xdr:row>9</xdr:row>
      <xdr:rowOff>83342</xdr:rowOff>
    </xdr:from>
    <xdr:to>
      <xdr:col>12</xdr:col>
      <xdr:colOff>690560</xdr:colOff>
      <xdr:row>9</xdr:row>
      <xdr:rowOff>207165</xdr:rowOff>
    </xdr:to>
    <xdr:sp macro="" textlink="">
      <xdr:nvSpPr>
        <xdr:cNvPr id="3" name="Triangle isocèle 2">
          <a:extLst>
            <a:ext uri="{FF2B5EF4-FFF2-40B4-BE49-F238E27FC236}">
              <a16:creationId xmlns:a16="http://schemas.microsoft.com/office/drawing/2014/main" id="{3ECF66BB-73C3-4E05-A72C-183790A70016}"/>
            </a:ext>
          </a:extLst>
        </xdr:cNvPr>
        <xdr:cNvSpPr/>
      </xdr:nvSpPr>
      <xdr:spPr>
        <a:xfrm rot="10800000">
          <a:off x="11661455" y="3352322"/>
          <a:ext cx="1994535" cy="125728"/>
        </a:xfrm>
        <a:prstGeom prst="triangle">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11</xdr:col>
      <xdr:colOff>785813</xdr:colOff>
      <xdr:row>0</xdr:row>
      <xdr:rowOff>666750</xdr:rowOff>
    </xdr:from>
    <xdr:to>
      <xdr:col>14</xdr:col>
      <xdr:colOff>14286</xdr:colOff>
      <xdr:row>5</xdr:row>
      <xdr:rowOff>0</xdr:rowOff>
    </xdr:to>
    <xdr:sp macro="" textlink="">
      <xdr:nvSpPr>
        <xdr:cNvPr id="4" name="Rectangle : carré corné 3">
          <a:extLst>
            <a:ext uri="{FF2B5EF4-FFF2-40B4-BE49-F238E27FC236}">
              <a16:creationId xmlns:a16="http://schemas.microsoft.com/office/drawing/2014/main" id="{C4FB40F6-88E8-4172-B47D-73ADB8F89E93}"/>
            </a:ext>
          </a:extLst>
        </xdr:cNvPr>
        <xdr:cNvSpPr/>
      </xdr:nvSpPr>
      <xdr:spPr>
        <a:xfrm>
          <a:off x="12373928" y="662940"/>
          <a:ext cx="1988818" cy="1289685"/>
        </a:xfrm>
        <a:prstGeom prst="foldedCorner">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r>
            <a:rPr lang="fr-FR" sz="1200" b="1">
              <a:solidFill>
                <a:schemeClr val="lt1"/>
              </a:solidFill>
              <a:effectLst/>
              <a:latin typeface="+mn-lt"/>
              <a:ea typeface="+mn-ea"/>
              <a:cs typeface="+mn-cs"/>
            </a:rPr>
            <a:t>CDI - </a:t>
          </a:r>
          <a:r>
            <a:rPr lang="fr-FR" sz="1200" b="1" baseline="0">
              <a:solidFill>
                <a:schemeClr val="lt1"/>
              </a:solidFill>
              <a:effectLst/>
              <a:latin typeface="+mn-lt"/>
              <a:ea typeface="+mn-ea"/>
              <a:cs typeface="+mn-cs"/>
            </a:rPr>
            <a:t>Cadre au forfait-jours Réduit</a:t>
          </a:r>
          <a:endParaRPr lang="fr-FR" sz="1400">
            <a:effectLst/>
          </a:endParaRPr>
        </a:p>
      </xdr:txBody>
    </xdr:sp>
    <xdr:clientData/>
  </xdr:twoCellAnchor>
  <xdr:twoCellAnchor>
    <xdr:from>
      <xdr:col>6</xdr:col>
      <xdr:colOff>0</xdr:colOff>
      <xdr:row>9</xdr:row>
      <xdr:rowOff>0</xdr:rowOff>
    </xdr:from>
    <xdr:to>
      <xdr:col>8</xdr:col>
      <xdr:colOff>438149</xdr:colOff>
      <xdr:row>9</xdr:row>
      <xdr:rowOff>170497</xdr:rowOff>
    </xdr:to>
    <xdr:sp macro="" textlink="">
      <xdr:nvSpPr>
        <xdr:cNvPr id="5" name="Triangle isocèle 4">
          <a:extLst>
            <a:ext uri="{FF2B5EF4-FFF2-40B4-BE49-F238E27FC236}">
              <a16:creationId xmlns:a16="http://schemas.microsoft.com/office/drawing/2014/main" id="{784CE1AA-B7BF-4F79-A0E8-BBFBA4244B0B}"/>
            </a:ext>
          </a:extLst>
        </xdr:cNvPr>
        <xdr:cNvSpPr/>
      </xdr:nvSpPr>
      <xdr:spPr>
        <a:xfrm rot="10800000">
          <a:off x="8096250" y="3274219"/>
          <a:ext cx="2140743" cy="170497"/>
        </a:xfrm>
        <a:prstGeom prst="triangle">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12</xdr:col>
      <xdr:colOff>3408438</xdr:colOff>
      <xdr:row>0</xdr:row>
      <xdr:rowOff>0</xdr:rowOff>
    </xdr:from>
    <xdr:ext cx="304800" cy="159385"/>
    <xdr:sp macro="" textlink="">
      <xdr:nvSpPr>
        <xdr:cNvPr id="2" name="Shape 15">
          <a:extLst>
            <a:ext uri="{FF2B5EF4-FFF2-40B4-BE49-F238E27FC236}">
              <a16:creationId xmlns:a16="http://schemas.microsoft.com/office/drawing/2014/main" id="{B7EFC284-5AF6-4E73-839A-0E4FF2B66552}"/>
            </a:ext>
          </a:extLst>
        </xdr:cNvPr>
        <xdr:cNvSpPr/>
      </xdr:nvSpPr>
      <xdr:spPr>
        <a:xfrm>
          <a:off x="14080248" y="0"/>
          <a:ext cx="304800" cy="159385"/>
        </a:xfrm>
        <a:custGeom>
          <a:avLst/>
          <a:gdLst/>
          <a:ahLst/>
          <a:cxnLst/>
          <a:rect l="0" t="0" r="0" b="0"/>
          <a:pathLst>
            <a:path w="304800" h="159385">
              <a:moveTo>
                <a:pt x="304330" y="0"/>
              </a:moveTo>
              <a:lnTo>
                <a:pt x="0" y="0"/>
              </a:lnTo>
              <a:lnTo>
                <a:pt x="9636" y="11755"/>
              </a:lnTo>
              <a:lnTo>
                <a:pt x="41991" y="49601"/>
              </a:lnTo>
              <a:lnTo>
                <a:pt x="75138" y="86791"/>
              </a:lnTo>
              <a:lnTo>
                <a:pt x="109068" y="123309"/>
              </a:lnTo>
              <a:lnTo>
                <a:pt x="143773" y="159142"/>
              </a:lnTo>
              <a:lnTo>
                <a:pt x="304330" y="0"/>
              </a:lnTo>
              <a:close/>
            </a:path>
          </a:pathLst>
        </a:custGeom>
        <a:solidFill>
          <a:srgbClr val="95C11F">
            <a:alpha val="9999"/>
          </a:srgbClr>
        </a:solidFill>
      </xdr:spPr>
    </xdr:sp>
    <xdr:clientData/>
  </xdr:oneCellAnchor>
  <xdr:twoCellAnchor>
    <xdr:from>
      <xdr:col>11</xdr:col>
      <xdr:colOff>71435</xdr:colOff>
      <xdr:row>9</xdr:row>
      <xdr:rowOff>83342</xdr:rowOff>
    </xdr:from>
    <xdr:to>
      <xdr:col>12</xdr:col>
      <xdr:colOff>690560</xdr:colOff>
      <xdr:row>9</xdr:row>
      <xdr:rowOff>207165</xdr:rowOff>
    </xdr:to>
    <xdr:sp macro="" textlink="">
      <xdr:nvSpPr>
        <xdr:cNvPr id="3" name="Triangle isocèle 2">
          <a:extLst>
            <a:ext uri="{FF2B5EF4-FFF2-40B4-BE49-F238E27FC236}">
              <a16:creationId xmlns:a16="http://schemas.microsoft.com/office/drawing/2014/main" id="{DCFDD3A8-5CCF-4681-8418-C549B06A3CF4}"/>
            </a:ext>
          </a:extLst>
        </xdr:cNvPr>
        <xdr:cNvSpPr/>
      </xdr:nvSpPr>
      <xdr:spPr>
        <a:xfrm rot="10800000">
          <a:off x="11661455" y="3247547"/>
          <a:ext cx="2299335" cy="125728"/>
        </a:xfrm>
        <a:prstGeom prst="triangle">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11</xdr:col>
      <xdr:colOff>785813</xdr:colOff>
      <xdr:row>0</xdr:row>
      <xdr:rowOff>666750</xdr:rowOff>
    </xdr:from>
    <xdr:to>
      <xdr:col>14</xdr:col>
      <xdr:colOff>14286</xdr:colOff>
      <xdr:row>5</xdr:row>
      <xdr:rowOff>0</xdr:rowOff>
    </xdr:to>
    <xdr:sp macro="" textlink="">
      <xdr:nvSpPr>
        <xdr:cNvPr id="4" name="Rectangle : carré corné 3">
          <a:extLst>
            <a:ext uri="{FF2B5EF4-FFF2-40B4-BE49-F238E27FC236}">
              <a16:creationId xmlns:a16="http://schemas.microsoft.com/office/drawing/2014/main" id="{F7A4A65D-C08E-4314-A464-AC1DAD685AAA}"/>
            </a:ext>
          </a:extLst>
        </xdr:cNvPr>
        <xdr:cNvSpPr/>
      </xdr:nvSpPr>
      <xdr:spPr>
        <a:xfrm>
          <a:off x="12373928" y="662940"/>
          <a:ext cx="2293618" cy="1184910"/>
        </a:xfrm>
        <a:prstGeom prst="foldedCorner">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r>
            <a:rPr lang="fr-FR" sz="1200" b="1">
              <a:solidFill>
                <a:schemeClr val="lt1"/>
              </a:solidFill>
              <a:effectLst/>
              <a:latin typeface="+mn-lt"/>
              <a:ea typeface="+mn-ea"/>
              <a:cs typeface="+mn-cs"/>
            </a:rPr>
            <a:t>CDI Intermittent - Non</a:t>
          </a:r>
          <a:r>
            <a:rPr lang="fr-FR" sz="1200" b="1" baseline="0">
              <a:solidFill>
                <a:schemeClr val="lt1"/>
              </a:solidFill>
              <a:effectLst/>
              <a:latin typeface="+mn-lt"/>
              <a:ea typeface="+mn-ea"/>
              <a:cs typeface="+mn-cs"/>
            </a:rPr>
            <a:t> Cadre </a:t>
          </a:r>
          <a:endParaRPr lang="fr-FR" sz="1400">
            <a:effectLst/>
          </a:endParaRPr>
        </a:p>
      </xdr:txBody>
    </xdr:sp>
    <xdr:clientData/>
  </xdr:twoCellAnchor>
  <xdr:twoCellAnchor>
    <xdr:from>
      <xdr:col>6</xdr:col>
      <xdr:colOff>47624</xdr:colOff>
      <xdr:row>9</xdr:row>
      <xdr:rowOff>59530</xdr:rowOff>
    </xdr:from>
    <xdr:to>
      <xdr:col>9</xdr:col>
      <xdr:colOff>9523</xdr:colOff>
      <xdr:row>9</xdr:row>
      <xdr:rowOff>226217</xdr:rowOff>
    </xdr:to>
    <xdr:sp macro="" textlink="">
      <xdr:nvSpPr>
        <xdr:cNvPr id="5" name="Triangle isocèle 4">
          <a:extLst>
            <a:ext uri="{FF2B5EF4-FFF2-40B4-BE49-F238E27FC236}">
              <a16:creationId xmlns:a16="http://schemas.microsoft.com/office/drawing/2014/main" id="{E3248A7C-EA30-45EA-9B19-A6EC7EB96F65}"/>
            </a:ext>
          </a:extLst>
        </xdr:cNvPr>
        <xdr:cNvSpPr/>
      </xdr:nvSpPr>
      <xdr:spPr>
        <a:xfrm rot="10800000">
          <a:off x="8145779" y="3218020"/>
          <a:ext cx="2133599" cy="170497"/>
        </a:xfrm>
        <a:prstGeom prst="triangle">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12</xdr:col>
      <xdr:colOff>3408438</xdr:colOff>
      <xdr:row>0</xdr:row>
      <xdr:rowOff>0</xdr:rowOff>
    </xdr:from>
    <xdr:ext cx="304800" cy="159385"/>
    <xdr:sp macro="" textlink="">
      <xdr:nvSpPr>
        <xdr:cNvPr id="2" name="Shape 15">
          <a:extLst>
            <a:ext uri="{FF2B5EF4-FFF2-40B4-BE49-F238E27FC236}">
              <a16:creationId xmlns:a16="http://schemas.microsoft.com/office/drawing/2014/main" id="{7EFEF2B4-D8F5-4A78-9292-1FBA2559F923}"/>
            </a:ext>
          </a:extLst>
        </xdr:cNvPr>
        <xdr:cNvSpPr/>
      </xdr:nvSpPr>
      <xdr:spPr>
        <a:xfrm>
          <a:off x="14080248" y="0"/>
          <a:ext cx="304800" cy="159385"/>
        </a:xfrm>
        <a:custGeom>
          <a:avLst/>
          <a:gdLst/>
          <a:ahLst/>
          <a:cxnLst/>
          <a:rect l="0" t="0" r="0" b="0"/>
          <a:pathLst>
            <a:path w="304800" h="159385">
              <a:moveTo>
                <a:pt x="304330" y="0"/>
              </a:moveTo>
              <a:lnTo>
                <a:pt x="0" y="0"/>
              </a:lnTo>
              <a:lnTo>
                <a:pt x="9636" y="11755"/>
              </a:lnTo>
              <a:lnTo>
                <a:pt x="41991" y="49601"/>
              </a:lnTo>
              <a:lnTo>
                <a:pt x="75138" y="86791"/>
              </a:lnTo>
              <a:lnTo>
                <a:pt x="109068" y="123309"/>
              </a:lnTo>
              <a:lnTo>
                <a:pt x="143773" y="159142"/>
              </a:lnTo>
              <a:lnTo>
                <a:pt x="304330" y="0"/>
              </a:lnTo>
              <a:close/>
            </a:path>
          </a:pathLst>
        </a:custGeom>
        <a:solidFill>
          <a:srgbClr val="95C11F">
            <a:alpha val="9999"/>
          </a:srgbClr>
        </a:solidFill>
      </xdr:spPr>
    </xdr:sp>
    <xdr:clientData/>
  </xdr:oneCellAnchor>
  <xdr:twoCellAnchor>
    <xdr:from>
      <xdr:col>11</xdr:col>
      <xdr:colOff>71435</xdr:colOff>
      <xdr:row>11</xdr:row>
      <xdr:rowOff>83342</xdr:rowOff>
    </xdr:from>
    <xdr:to>
      <xdr:col>12</xdr:col>
      <xdr:colOff>690560</xdr:colOff>
      <xdr:row>11</xdr:row>
      <xdr:rowOff>207165</xdr:rowOff>
    </xdr:to>
    <xdr:sp macro="" textlink="">
      <xdr:nvSpPr>
        <xdr:cNvPr id="3" name="Triangle isocèle 2">
          <a:extLst>
            <a:ext uri="{FF2B5EF4-FFF2-40B4-BE49-F238E27FC236}">
              <a16:creationId xmlns:a16="http://schemas.microsoft.com/office/drawing/2014/main" id="{8F06FE6C-F4D3-4269-81AE-9F6980D17126}"/>
            </a:ext>
          </a:extLst>
        </xdr:cNvPr>
        <xdr:cNvSpPr/>
      </xdr:nvSpPr>
      <xdr:spPr>
        <a:xfrm rot="10800000">
          <a:off x="11661455" y="3247547"/>
          <a:ext cx="2299335" cy="125728"/>
        </a:xfrm>
        <a:prstGeom prst="triangle">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11</xdr:col>
      <xdr:colOff>785813</xdr:colOff>
      <xdr:row>0</xdr:row>
      <xdr:rowOff>666750</xdr:rowOff>
    </xdr:from>
    <xdr:to>
      <xdr:col>14</xdr:col>
      <xdr:colOff>14286</xdr:colOff>
      <xdr:row>5</xdr:row>
      <xdr:rowOff>0</xdr:rowOff>
    </xdr:to>
    <xdr:sp macro="" textlink="">
      <xdr:nvSpPr>
        <xdr:cNvPr id="4" name="Rectangle : carré corné 3">
          <a:extLst>
            <a:ext uri="{FF2B5EF4-FFF2-40B4-BE49-F238E27FC236}">
              <a16:creationId xmlns:a16="http://schemas.microsoft.com/office/drawing/2014/main" id="{AA8BE7A2-BC50-4473-B590-0E8F724872BC}"/>
            </a:ext>
          </a:extLst>
        </xdr:cNvPr>
        <xdr:cNvSpPr/>
      </xdr:nvSpPr>
      <xdr:spPr>
        <a:xfrm>
          <a:off x="12373928" y="662940"/>
          <a:ext cx="2293618" cy="1184910"/>
        </a:xfrm>
        <a:prstGeom prst="foldedCorner">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r>
            <a:rPr lang="fr-FR" sz="1200" b="1">
              <a:solidFill>
                <a:schemeClr val="lt1"/>
              </a:solidFill>
              <a:effectLst/>
              <a:latin typeface="+mn-lt"/>
              <a:ea typeface="+mn-ea"/>
              <a:cs typeface="+mn-cs"/>
            </a:rPr>
            <a:t>AT / PROF - Salarié non</a:t>
          </a:r>
          <a:r>
            <a:rPr lang="fr-FR" sz="1200" b="1" baseline="0">
              <a:solidFill>
                <a:schemeClr val="lt1"/>
              </a:solidFill>
              <a:effectLst/>
              <a:latin typeface="+mn-lt"/>
              <a:ea typeface="+mn-ea"/>
              <a:cs typeface="+mn-cs"/>
            </a:rPr>
            <a:t> soumis à des bases forfaitaires</a:t>
          </a:r>
          <a:endParaRPr lang="fr-FR" sz="1400">
            <a:effectLst/>
          </a:endParaRPr>
        </a:p>
      </xdr:txBody>
    </xdr:sp>
    <xdr:clientData/>
  </xdr:twoCellAnchor>
  <xdr:twoCellAnchor>
    <xdr:from>
      <xdr:col>6</xdr:col>
      <xdr:colOff>47624</xdr:colOff>
      <xdr:row>11</xdr:row>
      <xdr:rowOff>59530</xdr:rowOff>
    </xdr:from>
    <xdr:to>
      <xdr:col>9</xdr:col>
      <xdr:colOff>9523</xdr:colOff>
      <xdr:row>11</xdr:row>
      <xdr:rowOff>226217</xdr:rowOff>
    </xdr:to>
    <xdr:sp macro="" textlink="">
      <xdr:nvSpPr>
        <xdr:cNvPr id="5" name="Triangle isocèle 4">
          <a:extLst>
            <a:ext uri="{FF2B5EF4-FFF2-40B4-BE49-F238E27FC236}">
              <a16:creationId xmlns:a16="http://schemas.microsoft.com/office/drawing/2014/main" id="{A213C3FE-5615-48E5-B0EF-E9653BEA2B71}"/>
            </a:ext>
          </a:extLst>
        </xdr:cNvPr>
        <xdr:cNvSpPr/>
      </xdr:nvSpPr>
      <xdr:spPr>
        <a:xfrm rot="10800000">
          <a:off x="8145779" y="3218020"/>
          <a:ext cx="2133599" cy="170497"/>
        </a:xfrm>
        <a:prstGeom prst="triangle">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persons/person.xml><?xml version="1.0" encoding="utf-8"?>
<personList xmlns="http://schemas.microsoft.com/office/spreadsheetml/2018/threadedcomments" xmlns:x="http://schemas.openxmlformats.org/spreadsheetml/2006/main">
  <person displayName="Lydia CARIO" id="{DD9E4EA3-52CF-4A05-86F5-FF946845DBE5}" userId="S::lcario@hexopee.org::fd64d6f3-acf6-45b1-99c1-ba5058401897" providerId="AD"/>
</personList>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6" dT="2023-08-11T07:16:46.00" personId="{DD9E4EA3-52CF-4A05-86F5-FF946845DBE5}" id="{37C5FAD3-1AE6-4B67-977E-50B6A129CC71}">
    <text xml:space="preserve">Il s'agit ici du nombre d'années d'ancienneté complètes pour déterminer le nombre de points d'ancienneté. Il vous appartient de déduire les périodes d'absence non assimilées à du temps de travail effectif qui n'entrent pas dans le décompte de l'ancienneté.
</text>
  </threadedComment>
  <threadedComment ref="L7" dT="2024-01-05T10:51:54.14" personId="{DD9E4EA3-52CF-4A05-86F5-FF946845DBE5}" id="{E61186DF-DC1D-4BD8-BB76-2BCC66E609A9}">
    <text xml:space="preserve">Nous avons créé cette option car certains salariés à temps partiel même en dessous de 24h par semaine ne bénéficient pas de l'indemnité temps partiel de 8 points: le salarié qui passerait en dessous de 24h en raison d'un congé parental à temps partiel, d'un mi-temps thérapeutique ou d'une retraite progressive. </text>
  </threadedComment>
  <threadedComment ref="H8" dT="2023-11-22T12:41:24.75" personId="{DD9E4EA3-52CF-4A05-86F5-FF946845DBE5}" id="{D09AA781-6301-4CA2-ADDE-550F401C8038}">
    <text>Indiquer ici le coefficient attribué au salarié sachant que celui-ci ne peut pas être inférieur au coefficient conventionnel correspondant à son groupe de classification</text>
  </threadedComment>
  <threadedComment ref="C14" dT="2023-08-08T09:18:24.29" personId="{DD9E4EA3-52CF-4A05-86F5-FF946845DBE5}" id="{E1825420-97EF-450C-9619-0C045B27FC86}">
    <text>N'hésitez pas à entrer en haut à droite du tableau le nombre d'années entières d'ancienneté pour calculer automatiquement le nombre de points d'ancienneté. 
Attention: cette formule marche uniquement pour les embauches réalisées depuis 2003.</text>
  </threadedComment>
  <threadedComment ref="C18" dT="2023-08-08T09:38:24.62" personId="{DD9E4EA3-52CF-4A05-86F5-FF946845DBE5}" id="{C4690122-5F82-4381-A542-99166E641780}">
    <text>Nous avons rentré ici une formule permettant de déclencher les 7 points d'indemnité temps partiel dès lors que vous avez indiqué en case M6 que le salarié doit bénéficier de l'indemnité temps partiel conformément aux dispositions conventionnelles.</text>
  </threadedComment>
  <threadedComment ref="C19" dT="2023-11-22T12:42:04.42" personId="{DD9E4EA3-52CF-4A05-86F5-FF946845DBE5}" id="{3DAEA5E6-A955-4EC4-ADF2-92720F2B2E0B}">
    <text>Il s'agit ici d'indiquer le montant de la prime versée volontairement par l'employeur et qui est exprimée directement avec un montant mensuel numéraire en euros et non pas en points. Le montant en euros n'est pas ici un montant journalier mais bien le montant mensuel brut attribué au salarié.</text>
  </threadedComment>
  <threadedComment ref="C29" dT="2023-08-08T09:20:41.32" personId="{DD9E4EA3-52CF-4A05-86F5-FF946845DBE5}" id="{189BEC1D-41E8-41B8-8E3B-96D86D4B42E4}">
    <text>Dans cet exemple, il a été appliqué le régime de base conventionnel pour la mutuelle. Vous pouvez modifier le contenu des cellules (base et taux) en fonction de votre régime de complémentaire santé appliqué dans l'association. Ou bien encore supprimer cette ligne si le salarié a demandé à être dispensé de la mutuelle conformément aux disposition légales ou conventionnelles.</text>
  </threadedComment>
  <threadedComment ref="F30" dT="2023-08-08T09:21:59.82" personId="{DD9E4EA3-52CF-4A05-86F5-FF946845DBE5}" id="{861C9B8A-F1C2-4C3F-9C75-E730A0026509}">
    <text>Il a été ici prévu un taux fictif accident du travail à 1,30%. Pensez à modifier ce taux en fonction de celui qui est applicable dans votre association.</text>
  </threadedComment>
  <threadedComment ref="D33" dT="2023-08-08T09:23:48.24" personId="{DD9E4EA3-52CF-4A05-86F5-FF946845DBE5}" id="{DC293F78-2417-42C8-A2D5-6B9041BE4929}">
    <text>Nous avons ici appliqué une répartition 50/50 entre le salarié et l'employeur pour la cotisation de retraite complémentaire. Si vous appliquez une répartition à 60/40, il faudra modifier les taux de la manière suivante: 4,06 salarié et 6,10 employeur.</text>
  </threadedComment>
  <threadedComment ref="F41" dT="2023-08-11T07:35:40.61" personId="{DD9E4EA3-52CF-4A05-86F5-FF946845DBE5}" id="{64ACB197-E10A-4442-BD02-C9F2C690E2CB}">
    <text xml:space="preserve">Nous avons ici indiqué un taux fictif. Il vous appartient de saisir le taux appliqué dans votre agglomération pour le versement transport si le lieu de travail est bien situé dans une agglomération soumise au versement transport. Si ce n'est pas le cas, indiquez "0". 
</text>
  </threadedComment>
  <threadedComment ref="J55" dT="2023-08-11T13:20:36.09" personId="{DD9E4EA3-52CF-4A05-86F5-FF946845DBE5}" id="{6A602185-0A35-46E3-BBFF-3975B8A2F502}">
    <text>Il s'agit ici du remboursement à 50% du montant de l'abonnement aux transports en commun ainsi que la participation de l'employeur à l'achat des tickets restaurant</text>
  </threadedComment>
  <threadedComment ref="C58" dT="2023-08-08T09:26:13.73" personId="{DD9E4EA3-52CF-4A05-86F5-FF946845DBE5}" id="{D067C969-5457-471A-8CCF-F7D763A6FF2E}">
    <text xml:space="preserve">Si le salarié utilise les transports en commun pour venir travailler et qu'il paye un abonnement, indiquez ici le montant de cet abonnement </text>
  </threadedComment>
  <threadedComment ref="E58" dT="2023-09-19T14:19:15.85" personId="{DD9E4EA3-52CF-4A05-86F5-FF946845DBE5}" id="{14D1C814-6569-4E9B-A5DF-0B1EE20CEF8C}">
    <text xml:space="preserve">Nous avons ici appliqué une prise en charge à 50% (obligation légale minimale).  </text>
  </threadedComment>
  <threadedComment ref="C59" dT="2023-08-08T09:29:58.88" personId="{DD9E4EA3-52CF-4A05-86F5-FF946845DBE5}" id="{5A3968F6-B41F-49E3-891F-C1EC72E5749E}">
    <text>S'il y en a, indiquez ici le montant total des tickets restaurant attribués pour le mois en cours</text>
  </threadedComment>
  <threadedComment ref="D59" dT="2023-08-08T09:46:03.58" personId="{DD9E4EA3-52CF-4A05-86F5-FF946845DBE5}" id="{15483E68-1F1B-47C4-B73D-AE92D004322E}">
    <text>Nous avons ici prévu une répartition à 40/60 salarié/employeur. Si la répartition est différente entre le salarié et l'employeur, pensez à modifier le taux de cotisation</text>
  </threadedComment>
  <threadedComment ref="F59" dT="2023-11-22T12:43:26.50" personId="{DD9E4EA3-52CF-4A05-86F5-FF946845DBE5}" id="{D17D120E-5B63-47E0-BC23-2314DB0B539E}">
    <text>Nous avons ici prévu une répartition à 40/60 salarié/employeur. Si la répartition est différente entre le salarié et l'employeur, pensez à modifier le taux de cotisation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B6" dT="2023-08-11T07:21:38.00" personId="{DD9E4EA3-52CF-4A05-86F5-FF946845DBE5}" id="{54E1B21E-B937-435E-908B-7EE6BB8FB112}">
    <text xml:space="preserve">Il s'agit ici du nombre d'années d'ancienneté complètes pour déterminer le nombre de points d'ancienneté. Il vous appartient de déduire les périodes d'absence non assimilées à du temps de travail effectif qui n'entrent pas dans le décompte de l'ancienneté.
</text>
  </threadedComment>
  <threadedComment ref="L7" dT="2024-01-05T10:52:29.53" personId="{DD9E4EA3-52CF-4A05-86F5-FF946845DBE5}" id="{F5E3E8F5-BAB8-4B38-BD64-0978671409BC}">
    <text xml:space="preserve">Nous avons créé cette option car certains salariés à temps partiel même en dessous de 24h par semaine ne bénéficient pas de l'indemnité temps partiel de 7 points: le salarié qui passerait en dessous de 24h en raison d'un congé parental à temps partiel, d'un mi-temps thérapeutique ou d'une retraite progressive. </text>
  </threadedComment>
  <threadedComment ref="H8" dT="2023-11-22T12:44:36.70" personId="{DD9E4EA3-52CF-4A05-86F5-FF946845DBE5}" id="{2BFE7918-1820-4C6D-8380-1525184B3B22}">
    <text>Indiquer ici le coefficient attribué au salarié sachant que celui-ci ne peut pas être inférieur au coefficient conventionnel correspondant à son groupe de classification</text>
  </threadedComment>
  <threadedComment ref="C14" dT="2023-08-08T09:18:24.29" personId="{DD9E4EA3-52CF-4A05-86F5-FF946845DBE5}" id="{0CBC391B-DEEF-47A4-8241-CF5DF21502EA}">
    <text>N'hésitez pas à entrer en haut à droite du tableau le nombre d'années entières d'ancienneté pour calculer automatiquement le nombre de points d'ancienneté. 
Attention: cette formule marche uniquement pour les embauches réalisées depuis 2003.</text>
  </threadedComment>
  <threadedComment ref="C18" dT="2023-08-08T09:38:24.62" personId="{DD9E4EA3-52CF-4A05-86F5-FF946845DBE5}" id="{2E491DFF-24A3-46A2-BE0A-854BA1C6A907}">
    <text xml:space="preserve">Nous avons rentré ici une formule permettant de déclencher les 7 points d'indemnité temps partiel dès lors que le salarié est embauché pour moins de 24h par semaine. </text>
  </threadedComment>
  <threadedComment ref="C19" dT="2023-11-22T12:45:23.25" personId="{DD9E4EA3-52CF-4A05-86F5-FF946845DBE5}" id="{A1050ED1-E4CD-41EF-9000-36C9AEB96AB7}">
    <text>Il s'agit ici d'indiquer le montant de la prime versée volontairement par l'employeur et qui est exprimée directement avec un montant mensuel numéraire en euros et non pas en points. Le montant en euros n'est pas ici un montant journalier mais bien le montant mensuel brut attribué au salarié.</text>
  </threadedComment>
  <threadedComment ref="C30" dT="2023-08-08T09:20:41.32" personId="{DD9E4EA3-52CF-4A05-86F5-FF946845DBE5}" id="{74C0F01E-C0C9-4E45-9DD7-4CD99D1C6DF6}">
    <text xml:space="preserve">Dans cet exemple, il a été appliqué le régime de base conventionnel pour la mutuelle. Vous pouvez modifier le contenu des cellules (base et taux) en fonction de votre régime de complémentaire santé appliqué dans l'association. Ou bien encore supprimer cette ligne si le salarié a demandé à être dispensé de la mutuelle conformément aux disposition légales ou conventionnelles.
</text>
  </threadedComment>
  <threadedComment ref="F31" dT="2023-08-08T09:21:59.82" personId="{DD9E4EA3-52CF-4A05-86F5-FF946845DBE5}" id="{0E7F5703-360E-4A8C-BF0A-F743147EABD8}">
    <text>Il a été ici prévu un taux fictif accident du travail à 1,30%. Pensez à modifier ce taux en fonction de celui qui est applicable dans votre association.</text>
  </threadedComment>
  <threadedComment ref="D34" dT="2023-08-08T09:23:48.24" personId="{DD9E4EA3-52CF-4A05-86F5-FF946845DBE5}" id="{373EEE22-12FF-4951-8B6A-AF126E45DB66}">
    <text>Nous avons ici appliqué une répartition 50/50 entre le salarié et l'employeur pour la cotisation de retraite complémentaire. Si vous appliquez une répartition à 60/40, il faudra modifier les taux de la manière suivante: 4,06 salarié et 6,10 employeur.</text>
  </threadedComment>
  <threadedComment ref="F43" dT="2023-08-11T08:07:54.72" personId="{DD9E4EA3-52CF-4A05-86F5-FF946845DBE5}" id="{8E01335F-9C9B-4D4A-8182-CB4DF7F97389}">
    <text xml:space="preserve">Nous avons ici indiqué un taux fictif. Il vous appartient de saisir le taux appliqué dans votre agglomération pour le versement transport si le lieu de travail est bien situé dans une agglomération soumise au versement transport. Si ce n'est pas le cas, indiquez "0". 
</text>
  </threadedComment>
  <threadedComment ref="C60" dT="2023-08-08T09:26:13.73" personId="{DD9E4EA3-52CF-4A05-86F5-FF946845DBE5}" id="{24F49CA3-1D99-47A1-B311-37FDA86B68E4}">
    <text xml:space="preserve">Si le salarié utilise les transports en commun pour venir travailler et qu'il paye un abonnement, indiquez ici le montant de cet abonnement </text>
  </threadedComment>
  <threadedComment ref="E60" dT="2023-09-19T14:20:57.95" personId="{DD9E4EA3-52CF-4A05-86F5-FF946845DBE5}" id="{4EDB7E2D-071B-4061-BB07-5EE4CA507B16}">
    <text xml:space="preserve">Nous avons ici appliqué une prise en charge à 50% (obligation légale minimale). </text>
  </threadedComment>
  <threadedComment ref="C61" dT="2023-08-08T09:29:58.88" personId="{DD9E4EA3-52CF-4A05-86F5-FF946845DBE5}" id="{01527BF9-6A54-40FF-9E4F-57214C329422}">
    <text>S'il y en a, indiquez ici le montant total des tickets restaurant attribués pour le mois en cours</text>
  </threadedComment>
  <threadedComment ref="D61" dT="2023-08-08T09:46:03.58" personId="{DD9E4EA3-52CF-4A05-86F5-FF946845DBE5}" id="{02661116-B2F1-4F36-A83B-703ED0857A1B}">
    <text>Nous avons ici prévu une répartition à 40/60 salarié/employeur. Si la répartition est différente entre le salarié et l'employeur, pensez à modifier le taux de cotisation</text>
  </threadedComment>
  <threadedComment ref="F61" dT="2023-11-22T12:46:31.58" personId="{DD9E4EA3-52CF-4A05-86F5-FF946845DBE5}" id="{EA48C495-E760-4119-9E29-C73A186F5639}">
    <text>Nous avons ici prévu une répartition à 40/60 salarié/employeur. Si la répartition est différente entre le salarié et l'employeur, pensez à modifier le taux de cotisation</text>
  </threadedComment>
</ThreadedComments>
</file>

<file path=xl/threadedComments/threadedComment3.xml><?xml version="1.0" encoding="utf-8"?>
<ThreadedComments xmlns="http://schemas.microsoft.com/office/spreadsheetml/2018/threadedcomments" xmlns:x="http://schemas.openxmlformats.org/spreadsheetml/2006/main">
  <threadedComment ref="B6" dT="2023-08-11T07:21:38.00" personId="{DD9E4EA3-52CF-4A05-86F5-FF946845DBE5}" id="{0DF72AEE-C64B-417B-B5BD-24A4DE8834B5}">
    <text xml:space="preserve">Il s'agit ici du nombre d'années d'ancienneté complètes pour déterminer le nombre de points d'ancienneté. Il vous appartient de déduire les périodes d'absence non assimilées à du temps de travail effectif qui n'entrent pas dans le décompte de l'ancienneté.
</text>
  </threadedComment>
  <threadedComment ref="H8" dT="2023-11-22T11:11:20.09" personId="{DD9E4EA3-52CF-4A05-86F5-FF946845DBE5}" id="{DA3F4B86-4E58-4359-855A-90103A975E34}">
    <text>Indiquer ici le coefficient attribué au salarié sachant que celui-ci ne peut pas être inférieur au coefficient conventionnel correspondant à son groupe de classification</text>
  </threadedComment>
  <threadedComment ref="C14" dT="2023-08-08T09:18:24.29" personId="{DD9E4EA3-52CF-4A05-86F5-FF946845DBE5}" id="{9CC03C08-011A-4A8D-9827-68F5B5F66AAA}">
    <text>N'hésitez pas à entrer en haut à droite du tableau le nombre d'années entières d'ancienneté pour calculer automatiquement le nombre de points d'ancienneté. 
Attention: cette formule marche uniquement pour les embauches réalisées depuis 2003.</text>
  </threadedComment>
  <threadedComment ref="C17" dT="2023-11-22T11:12:19.93" personId="{DD9E4EA3-52CF-4A05-86F5-FF946845DBE5}" id="{79FA36F5-A401-482D-BF3E-56EC9B90DDCA}">
    <text>Il s'agit ici d'indiquer le montant de la prime versée volontairement par l'employeur et qui est exprimée directement avec un montant mensuel numéraire en euros et non pas en points. Le montant en euros n'est pas ici un montant journalier mais bien le montant mensuel brut attribué au salarié.</text>
  </threadedComment>
  <threadedComment ref="C28" dT="2023-08-08T09:20:41.32" personId="{DD9E4EA3-52CF-4A05-86F5-FF946845DBE5}" id="{FEBEFB9C-091B-4C1D-954B-EF6135670B02}">
    <text>Dans cet exemple, il a été appliqué le régime de base conventionnel pour la mutuelle. Vous pouvez modifier le contenu des cellules (base et taux) en fonction de votre régime de complémentaire santé appliqué dans l'association. Ou bien encore supprimer cette ligne si le salarié a demandé à être dispensé de la mutuelle conformément aux disposition légales ou conventionnelles.</text>
  </threadedComment>
  <threadedComment ref="F29" dT="2023-08-08T09:21:59.82" personId="{DD9E4EA3-52CF-4A05-86F5-FF946845DBE5}" id="{B516E933-7127-4205-9146-CF95E833782F}">
    <text>Il a été ici prévu un taux fictif accident du travail à 1,30%. Pensez à modifier ce taux en fonction de celui qui est applicable dans votre association.</text>
  </threadedComment>
  <threadedComment ref="D32" dT="2023-08-08T09:23:48.24" personId="{DD9E4EA3-52CF-4A05-86F5-FF946845DBE5}" id="{FCDE69A1-0ACF-4689-A9C9-198B7CE545E6}">
    <text>Nous avons ici appliqué une répartition 50/50 entre le salarié et l'employeur pour la cotisation de retraite complémentaire. Si vous appliquez une répartition à 60/40, il faudra modifier les taux de la manière suivante: 4,06 salarié et 6,10 employeur.</text>
  </threadedComment>
  <threadedComment ref="F41" dT="2023-08-11T08:07:54.72" personId="{DD9E4EA3-52CF-4A05-86F5-FF946845DBE5}" id="{6C59DED4-D094-4660-BA86-D17EC7B83C74}">
    <text xml:space="preserve">Nous avons ici indiqué un taux fictif. Il vous appartient de saisir le taux appliqué dans votre agglomération pour le versement transport si le lieu de travail est bien situé dans une agglomération soumise au versement transport. Si ce n'est pas le cas, indiquez "0". 
</text>
  </threadedComment>
  <threadedComment ref="C58" dT="2023-08-08T09:26:13.73" personId="{DD9E4EA3-52CF-4A05-86F5-FF946845DBE5}" id="{636409C0-DC10-41F1-AEBA-C4B5F5524C3B}">
    <text xml:space="preserve">Si le salarié utilise les transports en commun pour venir travailler et qu'il paye un abonnement, indiquez ici le montant de cet abonnement </text>
  </threadedComment>
  <threadedComment ref="E58" dT="2023-09-19T14:21:14.69" personId="{DD9E4EA3-52CF-4A05-86F5-FF946845DBE5}" id="{3904A452-6A90-4A0B-84DC-0E5B8D84EBDC}">
    <text xml:space="preserve">Nous avons ici appliqué une prise en charge à 50% (obligation légale minimale). </text>
  </threadedComment>
  <threadedComment ref="C59" dT="2023-08-08T09:29:58.88" personId="{DD9E4EA3-52CF-4A05-86F5-FF946845DBE5}" id="{CC7703F2-665F-4A43-B5F8-25E0E20E2E51}">
    <text>S'il y en a, indiquez ici le montant total des tickets restaurant attribués pour le mois en cours</text>
  </threadedComment>
  <threadedComment ref="D59" dT="2023-08-08T09:46:03.58" personId="{DD9E4EA3-52CF-4A05-86F5-FF946845DBE5}" id="{E538BD37-E1F8-4A6A-8A38-E1149D110657}">
    <text>Nous avons ici prévu une répartition à 40/60 salarié/employeur. Si la répartition est différente entre le salarié et l'employeur, pensez à modifier le taux de cotisation</text>
  </threadedComment>
</ThreadedComments>
</file>

<file path=xl/threadedComments/threadedComment4.xml><?xml version="1.0" encoding="utf-8"?>
<ThreadedComments xmlns="http://schemas.microsoft.com/office/spreadsheetml/2018/threadedcomments" xmlns:x="http://schemas.openxmlformats.org/spreadsheetml/2006/main">
  <threadedComment ref="B6" dT="2023-08-11T07:21:38.00" personId="{DD9E4EA3-52CF-4A05-86F5-FF946845DBE5}" id="{F661D779-BAF9-4F74-BDBA-20DE18F1305E}">
    <text xml:space="preserve">Il s'agit ici du nombre d'années d'ancienneté complètes pour déterminer le nombre de points d'ancienneté. Il vous appartient de déduire les périodes d'absence non assimilées à du temps de travail effectif qui n'entrent pas dans le décompte de l'ancienneté.
</text>
  </threadedComment>
  <threadedComment ref="H8" dT="2023-11-22T11:07:09.24" personId="{DD9E4EA3-52CF-4A05-86F5-FF946845DBE5}" id="{C679FE61-7DA9-4F13-8EEE-11B94CCF6788}">
    <text>Indiquer ici le coefficient attribué au salarié sachant que celui-ci ne peut pas être inférieur au coefficient conventionnel correspondant à son groupe de classification</text>
  </threadedComment>
  <threadedComment ref="C14" dT="2023-08-08T09:18:24.29" personId="{DD9E4EA3-52CF-4A05-86F5-FF946845DBE5}" id="{4AC8E372-B3F7-4ADA-B517-A43A28716B8A}">
    <text>N'hésitez pas à entrer en haut à droite du tableau le nombre d'années entières d'ancienneté pour calculer automatiquement le nombre de points d'ancienneté. 
Attention: cette formule marche uniquement pour les embauches réalisées depuis 2003.</text>
  </threadedComment>
  <threadedComment ref="C17" dT="2023-11-22T11:08:58.20" personId="{DD9E4EA3-52CF-4A05-86F5-FF946845DBE5}" id="{BB86C4D8-B52F-4FD3-9F7E-0C5F9718CF80}">
    <text xml:space="preserve">Il s'agit ici d'indiquer le montant de la prime versée volontairement par l'employeur et qui est exprimée directement avec un montant mensuel numéraire en euros et non pas en points. Le montant en euros n'est pas ici un montant journalier mais bien le montant mensuel brut attribué au salarié.
</text>
  </threadedComment>
  <threadedComment ref="C28" dT="2023-08-08T09:20:41.32" personId="{DD9E4EA3-52CF-4A05-86F5-FF946845DBE5}" id="{95FC3113-CCF6-4072-B8C8-B388CA54EBC3}">
    <text>Dans cet exemple, il a été appliqué le régime de base conventionnel pour la mutuelle. Vous pouvez modifier le contenu des cellules (base et taux) en fonction de votre régime de complémentaire santé appliqué dans l'association. Ou bien encore supprimer cette ligne si le salarié a demandé à être dispensé de la mutuelle conformément aux disposition légales ou conventionnelles.</text>
  </threadedComment>
  <threadedComment ref="F29" dT="2023-08-08T09:21:59.82" personId="{DD9E4EA3-52CF-4A05-86F5-FF946845DBE5}" id="{63EE1D62-36E1-49B2-B835-35E4396C665E}">
    <text>Il a été ici prévu un taux fictif accident du travail à 1,30%. Pensez à modifier ce taux en fonction de celui qui est applicable dans votre association.</text>
  </threadedComment>
  <threadedComment ref="D32" dT="2023-08-08T09:23:48.24" personId="{DD9E4EA3-52CF-4A05-86F5-FF946845DBE5}" id="{0B82E540-2DFC-42AB-AA94-D95C3B369FF7}">
    <text>Nous avons ici appliqué une répartition 50/50 entre le salarié et l'employeur pour la cotisation de retraite complémentaire. Si vous appliquez une répartition à 60/40, il faudra modifier les taux de la manière suivante: 4,06 salarié et 6,10 employeur.</text>
  </threadedComment>
  <threadedComment ref="F41" dT="2023-08-11T08:07:54.72" personId="{DD9E4EA3-52CF-4A05-86F5-FF946845DBE5}" id="{B1C5F0E9-55CD-4C42-9468-2F42F308A140}">
    <text xml:space="preserve">Nous avons ici indiqué un taux fictif. Il vous appartient de saisir le taux appliqué dans votre agglomération pour le versement transport si le lieu de travail est bien situé dans une agglomération soumise au versement transport. Si ce n'est pas le cas, indiquez "0". 
</text>
  </threadedComment>
  <threadedComment ref="J55" dT="2023-08-11T13:17:33.67" personId="{DD9E4EA3-52CF-4A05-86F5-FF946845DBE5}" id="{0ED7E2C1-A00D-466A-8610-6F4987DC30E2}">
    <text>Il s'agit ici du remboursement à 50% du montant de l'abonnement aux transports en commun ainsi que la participation de l'employeur à l'achat des tickets restaurant.</text>
  </threadedComment>
  <threadedComment ref="C58" dT="2023-08-08T09:26:13.73" personId="{DD9E4EA3-52CF-4A05-86F5-FF946845DBE5}" id="{C60611A2-0D0F-42BF-B70D-2CE51E3A0871}">
    <text xml:space="preserve">Si le salarié utilise les transports en commun pour venir travailler et qu'il paye un abonnement, indiquez ici le montant de cet abonnement </text>
  </threadedComment>
  <threadedComment ref="E58" dT="2023-09-19T14:21:25.63" personId="{DD9E4EA3-52CF-4A05-86F5-FF946845DBE5}" id="{0BE1E841-0F70-4627-BFC1-CCCBBDD9F708}">
    <text xml:space="preserve">Nous avons ici appliqué une prise en charge à 50% (obligation légale minimale). </text>
  </threadedComment>
  <threadedComment ref="C59" dT="2023-08-08T09:29:58.88" personId="{DD9E4EA3-52CF-4A05-86F5-FF946845DBE5}" id="{FD5FC93E-750F-4658-A97E-7677BC16B236}">
    <text>S'il y en a, indiquez ici le montant total des tickets restaurant attribués pour le mois en cours</text>
  </threadedComment>
  <threadedComment ref="D59" dT="2023-08-08T09:46:03.58" personId="{DD9E4EA3-52CF-4A05-86F5-FF946845DBE5}" id="{0B39967D-F579-4C53-ABAE-E1035AF2D42E}">
    <text>Nous avons ici prévu une répartition à 40/60 salarié/employeur. Si la répartition est différente entre le salarié et l'employeur, pensez à modifier le taux de cotisation</text>
  </threadedComment>
  <threadedComment ref="F59" dT="2023-11-22T11:10:40.36" personId="{DD9E4EA3-52CF-4A05-86F5-FF946845DBE5}" id="{7DB47CDC-AF4A-4A3A-A2A5-6618D00A8313}">
    <text>Nous avons ici prévu une répartition à 40/60 salarié/employeur. Si la répartition est différente entre le salarié et l'employeur, pensez à modifier le taux de cotisation</text>
  </threadedComment>
</ThreadedComments>
</file>

<file path=xl/threadedComments/threadedComment5.xml><?xml version="1.0" encoding="utf-8"?>
<ThreadedComments xmlns="http://schemas.microsoft.com/office/spreadsheetml/2018/threadedcomments" xmlns:x="http://schemas.openxmlformats.org/spreadsheetml/2006/main">
  <threadedComment ref="B6" dT="2023-08-11T07:16:46.00" personId="{DD9E4EA3-52CF-4A05-86F5-FF946845DBE5}" id="{745E1733-884F-4501-88B0-F30DD9D238EF}">
    <text xml:space="preserve">Il s'agit ici du nombre d'années d'ancienneté complètes pour déterminer le nombre de points d'ancienneté. Il vous appartient de déduire les périodes d'absence non assimilées à du temps de travail effectif qui n'entrent pas dans le décompte de l'ancienneté.
</text>
  </threadedComment>
  <threadedComment ref="H8" dT="2023-11-22T11:03:48.75" personId="{DD9E4EA3-52CF-4A05-86F5-FF946845DBE5}" id="{1BFE443E-50A3-48D3-93D8-7C2AA94E092C}">
    <text>Indiquer ici le coefficient attribué au salarié sachant que celui-ci ne peut pas être inférieur au coefficient conventionnel correspondant à son groupe de classification</text>
  </threadedComment>
  <threadedComment ref="C14" dT="2023-08-08T09:18:24.29" personId="{DD9E4EA3-52CF-4A05-86F5-FF946845DBE5}" id="{5050DF6C-E45D-4AB2-A11E-CFD3156C7CB9}">
    <text>N'hésitez pas à entrer en haut à droite du tableau le nombre d'années entières d'ancienneté pour calculer automatiquement le nombre de points d'ancienneté. 
Attention: cette formule marche uniquement pour les embauches réalisées depuis 2003.</text>
  </threadedComment>
  <threadedComment ref="C18" dT="2023-11-22T10:57:55.46" personId="{DD9E4EA3-52CF-4A05-86F5-FF946845DBE5}" id="{6F257049-E49A-40B0-8E93-46420D1B8367}">
    <text xml:space="preserve">Il s'agit ici d'indiquer le montant de la prime versée volontairement par l'employeur et qui est exprimée directement avec un montant mensuel numéraire en euros et non pas en points. Le montant en euros n'est pas ici un montant horaire mais bien le montant mensuel brut attribué au salarié.
</text>
  </threadedComment>
  <threadedComment ref="C28" dT="2023-08-08T09:20:41.32" personId="{DD9E4EA3-52CF-4A05-86F5-FF946845DBE5}" id="{893764D4-E6ED-460F-BD1E-E49D1047DAC7}">
    <text>Dans cet exemple, il a été appliqué le régime de base conventionnel pour la mutuelle. Vous pouvez modifier le contenu des cellules (base et taux) en fonction de votre régime de complémentaire santé appliqué dans l'association. Ou bien encore supprimer cette ligne si le salarié a demandé à être dispensé de la mutuelle conformément aux disposition légales ou conventionnelles.</text>
  </threadedComment>
  <threadedComment ref="F29" dT="2023-08-08T09:21:59.82" personId="{DD9E4EA3-52CF-4A05-86F5-FF946845DBE5}" id="{75BE1AE5-FD42-4554-8CCE-72BCE8672974}">
    <text>Il a été ici prévu un taux fictif accident du travail à 1,30%. Pensez à modifier ce taux en fonction de celui qui est applicable dans votre association.</text>
  </threadedComment>
  <threadedComment ref="D32" dT="2023-08-08T09:23:48.24" personId="{DD9E4EA3-52CF-4A05-86F5-FF946845DBE5}" id="{B8E50EB0-679B-4069-B259-1CE89D95F521}">
    <text>Nous avons ici appliqué une répartition 50/50 entre le salarié et l'employeur pour la cotisation de retraite complémentaire. Si vous appliquez une répartition à 60/40, il faudra modifier les taux de la manière suivante: 4,06 salarié et 6,10 employeur.</text>
  </threadedComment>
  <threadedComment ref="F40" dT="2023-08-11T07:35:40.61" personId="{DD9E4EA3-52CF-4A05-86F5-FF946845DBE5}" id="{580F3CA6-14B0-45E7-8477-07F65D9E9908}">
    <text xml:space="preserve">Nous avons ici indiqué un taux fictif. Il vous appartient de saisir le taux appliqué dans votre agglomération pour le versement transport si le lieu de travail est bien situé dans une agglomération soumise au versement transport. Si ce n'est pas le cas, indiquez "0". 
</text>
  </threadedComment>
  <threadedComment ref="J54" dT="2023-08-11T13:20:36.09" personId="{DD9E4EA3-52CF-4A05-86F5-FF946845DBE5}" id="{3BEB757D-916F-403F-A58C-98D3B2B430F0}">
    <text>Il s'agit ici du remboursement à 50% du montant de l'abonnement aux transports en commun ainsi que la participation de l'employeur à l'achat des tickets restaurant</text>
  </threadedComment>
  <threadedComment ref="C57" dT="2023-08-08T09:26:13.73" personId="{DD9E4EA3-52CF-4A05-86F5-FF946845DBE5}" id="{743F5EDE-559E-4841-ABB3-1463A82A29BA}">
    <text xml:space="preserve">Si le salarié utilise les transports en commun pour venir travailler et qu'il paye un abonnement, indiquez ici le montant de cet abonnement </text>
  </threadedComment>
  <threadedComment ref="E57" dT="2023-09-19T14:21:37.43" personId="{DD9E4EA3-52CF-4A05-86F5-FF946845DBE5}" id="{149B8862-FAAC-4C47-93BB-43F3D351114F}">
    <text xml:space="preserve">Nous avons ici appliqué une prise en charge à 50% (obligation légale minimale). </text>
  </threadedComment>
  <threadedComment ref="C58" dT="2023-08-08T09:29:58.88" personId="{DD9E4EA3-52CF-4A05-86F5-FF946845DBE5}" id="{6D22657E-7099-478C-8FB2-2BC480CAFE95}">
    <text>S'il y en a, indiquez ici le montant total des tickets restaurant attribués pour le mois en cours</text>
  </threadedComment>
  <threadedComment ref="D58" dT="2023-08-08T09:46:03.58" personId="{DD9E4EA3-52CF-4A05-86F5-FF946845DBE5}" id="{991F0CD4-6534-4754-93ED-0413BF61C8C4}">
    <text>Nous avons ici prévu une répartition à 40/60 salarié/employeur. Si la répartition est différente entre le salarié et l'employeur, pensez à modifier le taux de cotisation salarié et employeur</text>
  </threadedComment>
  <threadedComment ref="F58" dT="2023-11-22T11:06:32.19" personId="{DD9E4EA3-52CF-4A05-86F5-FF946845DBE5}" id="{17F5050D-8055-4126-9F1D-60CEC06355E0}">
    <text>Nous avons ici prévu une répartition à 40/60 salarié/employeur. Si la répartition est différente entre le salarié et l'employeur, pensez à modifier le taux de cotisation salarié et employeur</text>
  </threadedComment>
</ThreadedComments>
</file>

<file path=xl/threadedComments/threadedComment6.xml><?xml version="1.0" encoding="utf-8"?>
<ThreadedComments xmlns="http://schemas.microsoft.com/office/spreadsheetml/2018/threadedcomments" xmlns:x="http://schemas.openxmlformats.org/spreadsheetml/2006/main">
  <threadedComment ref="B6" dT="2023-08-11T07:16:46.00" personId="{DD9E4EA3-52CF-4A05-86F5-FF946845DBE5}" id="{84EF16A8-5EB8-4271-8384-EBBB1FF7F405}">
    <text xml:space="preserve">Il s'agit ici du nombre d'années d'ancienneté complètes pour déterminer le nombre de points d'ancienneté. Il vous appartient de déduire les périodes d'absence non assimilées à du temps de travail effectif qui n'entrent pas dans le décompte de l'ancienneté.
</text>
  </threadedComment>
  <threadedComment ref="H10" dT="2023-11-22T11:02:22.32" personId="{DD9E4EA3-52CF-4A05-86F5-FF946845DBE5}" id="{F24D03F8-DFF9-4878-9F0C-51261994D23A}">
    <text>Indiquer ici le coefficient attribué au salarié sachant que celui-ci ne peut pas être inférieur au coefficient conventionnel correspondant à son groupe de classification</text>
  </threadedComment>
  <threadedComment ref="C16" dT="2023-08-08T09:18:24.29" personId="{DD9E4EA3-52CF-4A05-86F5-FF946845DBE5}" id="{7A06B043-03F5-48C0-BBD5-E4534FED8BC3}">
    <text>N'hésitez pas à entrer en haut à droite du tableau le nombre d'années entières d'ancienneté pour calculer automatiquement le nombre de points d'ancienneté. 
Attention: cette formule marche uniquement pour les embauches réalisées depuis 2003.</text>
  </threadedComment>
  <threadedComment ref="C19" dT="2023-11-22T10:52:09.49" personId="{DD9E4EA3-52CF-4A05-86F5-FF946845DBE5}" id="{A70ECF76-26C9-4BC9-8849-8E2B4664659F}">
    <text xml:space="preserve">Il s'agit ici d'indiquer le montant de la prime versée volontairement par l'employeur et qui est exprimée directement avec un montant mensuel numéraire en euros et non pas en points. Le montant en euros n'est pas ici un montant horaire mais bien le montant mensuel brut attribué au salarié.
</text>
  </threadedComment>
  <threadedComment ref="C29" dT="2023-08-08T09:20:41.32" personId="{DD9E4EA3-52CF-4A05-86F5-FF946845DBE5}" id="{3E5572B2-F293-42BD-9CC6-506F189678BB}">
    <text>Dans cet exemple, il a été appliqué le régime de base conventionnel pour la mutuelle. Vous pouvez modifier le contenu des cellules (base et taux) en fonction de votre régime de complémentaire santé appliqué dans l'association. Ou bien encore supprimer cette ligne si le salarié a demandé à être dispensé de la mutuelle conformément aux disposition légales ou conventionnelles.</text>
  </threadedComment>
  <threadedComment ref="F30" dT="2023-08-08T09:21:59.82" personId="{DD9E4EA3-52CF-4A05-86F5-FF946845DBE5}" id="{CBF277FE-7E75-4D8B-BA00-63D5CE388E49}">
    <text>Il a été ici prévu un taux fictif accident du travail à 1,30%. Pensez à modifier ce taux en fonction de celui qui est applicable dans votre association.</text>
  </threadedComment>
  <threadedComment ref="D33" dT="2023-08-08T09:23:48.24" personId="{DD9E4EA3-52CF-4A05-86F5-FF946845DBE5}" id="{C6F92198-F25B-4C3E-9B30-B881179B6D1F}">
    <text>Nous avons ici appliqué une répartition 50/50 entre le salarié et l'employeur pour la cotisation de retraite complémentaire. Si vous appliquez une répartition à 60/40, il faudra modifier les taux de la manière suivante: 4,06 salarié et 6,10 employeur.</text>
  </threadedComment>
  <threadedComment ref="F41" dT="2023-08-11T07:35:40.61" personId="{DD9E4EA3-52CF-4A05-86F5-FF946845DBE5}" id="{DBCB7EE1-72E7-4418-8CB3-8F5C85B35321}">
    <text xml:space="preserve">Nous avons ici indiqué un taux fictif. Il vous appartient de saisir le taux appliqué dans votre agglomération pour le versement transport si le lieu de travail est bien situé dans une agglomération soumise au versement transport. Si ce n'est pas le cas, indiquez "0". 
</text>
  </threadedComment>
  <threadedComment ref="J55" dT="2023-08-11T13:20:36.09" personId="{DD9E4EA3-52CF-4A05-86F5-FF946845DBE5}" id="{1456569A-5E71-45C0-BF9A-EB08A1E357BA}">
    <text>Il s'agit ici du remboursement à 50% du montant de l'abonnement aux transports en commun ainsi que la participation de l'employeur à l'achat des tickets restaurant</text>
  </threadedComment>
  <threadedComment ref="C58" dT="2023-08-08T09:26:13.73" personId="{DD9E4EA3-52CF-4A05-86F5-FF946845DBE5}" id="{970D3862-562B-4DF8-8D25-F4F2B6B0C420}">
    <text xml:space="preserve">Si le salarié utilise les transports en commun pour venir travailler et qu'il paye un abonnement, indiquez ici le montant de cet abonnement </text>
  </threadedComment>
  <threadedComment ref="E58" dT="2023-09-19T14:22:25.67" personId="{DD9E4EA3-52CF-4A05-86F5-FF946845DBE5}" id="{84793B54-E037-4AB8-BFB8-AA7A37113B43}">
    <text xml:space="preserve">Nous avons ici appliqué une prise en charge à 50% (obligation légale minimale). </text>
  </threadedComment>
  <threadedComment ref="C59" dT="2023-08-08T09:29:58.88" personId="{DD9E4EA3-52CF-4A05-86F5-FF946845DBE5}" id="{272F9722-6CE0-4067-9F04-A86BC6FE052E}">
    <text>S'il y en a, indiquez ici le montant total des tickets restaurant attribués pour le mois en cours</text>
  </threadedComment>
  <threadedComment ref="D59" dT="2023-08-08T09:46:03.58" personId="{DD9E4EA3-52CF-4A05-86F5-FF946845DBE5}" id="{9AF50F5F-4938-4A5E-B3A1-7AD9A0B395DB}">
    <text>Nous avons ici prévu une répartition à 40/60 salarié/employeur. Si la répartition est différente entre le salarié et l'employeur, pensez à modifier le taux de cotisation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34AB3-339C-4F1F-B7D9-D2C7F753FE06}">
  <dimension ref="B3:F20"/>
  <sheetViews>
    <sheetView workbookViewId="0">
      <selection activeCell="E10" sqref="E10"/>
    </sheetView>
  </sheetViews>
  <sheetFormatPr baseColWidth="10" defaultColWidth="12" defaultRowHeight="12.75"/>
  <cols>
    <col min="2" max="2" width="33.1640625" customWidth="1"/>
    <col min="3" max="3" width="14.6640625" customWidth="1"/>
    <col min="5" max="5" width="19" customWidth="1"/>
  </cols>
  <sheetData>
    <row r="3" spans="2:6" ht="18.75">
      <c r="B3" s="79" t="s">
        <v>0</v>
      </c>
    </row>
    <row r="5" spans="2:6">
      <c r="B5" t="s">
        <v>1</v>
      </c>
      <c r="C5">
        <v>11.88</v>
      </c>
      <c r="E5" t="s">
        <v>2</v>
      </c>
      <c r="F5">
        <v>257</v>
      </c>
    </row>
    <row r="6" spans="2:6">
      <c r="B6" t="s">
        <v>3</v>
      </c>
      <c r="C6">
        <v>3925</v>
      </c>
    </row>
    <row r="7" spans="2:6">
      <c r="B7" t="s">
        <v>4</v>
      </c>
      <c r="C7">
        <v>7.15</v>
      </c>
    </row>
    <row r="8" spans="2:6">
      <c r="B8" t="s">
        <v>5</v>
      </c>
      <c r="C8">
        <v>6.73</v>
      </c>
    </row>
    <row r="10" spans="2:6">
      <c r="B10" t="s">
        <v>6</v>
      </c>
      <c r="C10" s="80">
        <f>0.3194/0.6</f>
        <v>0.53233333333333344</v>
      </c>
    </row>
    <row r="11" spans="2:6">
      <c r="B11" t="s">
        <v>7</v>
      </c>
      <c r="C11">
        <f>0.3234/0.6</f>
        <v>0.53900000000000003</v>
      </c>
    </row>
    <row r="13" spans="2:6">
      <c r="B13" s="81" t="s">
        <v>8</v>
      </c>
    </row>
    <row r="14" spans="2:6">
      <c r="B14" s="82" t="s">
        <v>9</v>
      </c>
      <c r="D14" s="82" t="s">
        <v>10</v>
      </c>
    </row>
    <row r="15" spans="2:6">
      <c r="B15" s="82" t="s">
        <v>11</v>
      </c>
      <c r="C15" s="82" t="s">
        <v>12</v>
      </c>
      <c r="D15">
        <v>748</v>
      </c>
      <c r="E15" s="82" t="s">
        <v>13</v>
      </c>
      <c r="F15">
        <v>1494</v>
      </c>
    </row>
    <row r="16" spans="2:6">
      <c r="B16" s="82" t="s">
        <v>14</v>
      </c>
      <c r="C16" s="82" t="s">
        <v>15</v>
      </c>
      <c r="D16">
        <v>1494</v>
      </c>
    </row>
    <row r="19" spans="2:3">
      <c r="B19" s="81" t="s">
        <v>16</v>
      </c>
    </row>
    <row r="20" spans="2:3">
      <c r="B20" s="82" t="s">
        <v>17</v>
      </c>
      <c r="C20" s="83">
        <v>1.3</v>
      </c>
    </row>
  </sheetData>
  <sheetProtection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779EA-C6E4-4A79-A6A2-634E1C05AB1E}">
  <dimension ref="A1:P79"/>
  <sheetViews>
    <sheetView topLeftCell="A2" zoomScale="70" zoomScaleNormal="70" workbookViewId="0">
      <selection activeCell="O15" sqref="O15"/>
    </sheetView>
  </sheetViews>
  <sheetFormatPr baseColWidth="10" defaultColWidth="9.33203125" defaultRowHeight="12.75"/>
  <cols>
    <col min="1" max="1" width="10.6640625" style="16" customWidth="1"/>
    <col min="2" max="2" width="51.1640625" style="16" customWidth="1"/>
    <col min="3" max="3" width="13.6640625" style="50" bestFit="1" customWidth="1"/>
    <col min="4" max="4" width="18.1640625" style="16" customWidth="1"/>
    <col min="5" max="5" width="13.5" style="16" customWidth="1"/>
    <col min="6" max="6" width="10.83203125" style="16" customWidth="1"/>
    <col min="7" max="7" width="10.6640625" style="16" bestFit="1" customWidth="1"/>
    <col min="8" max="8" width="14" style="16" customWidth="1"/>
    <col min="9" max="9" width="7" style="16" customWidth="1"/>
    <col min="10" max="10" width="10.33203125" style="16" customWidth="1"/>
    <col min="11" max="11" width="9" style="16" customWidth="1"/>
    <col min="12" max="12" width="24.5" style="16" customWidth="1"/>
    <col min="13" max="13" width="11.83203125" style="16" bestFit="1" customWidth="1"/>
    <col min="14" max="14" width="8.33203125" style="16" customWidth="1"/>
    <col min="15" max="15" width="9.33203125" style="16"/>
    <col min="16" max="16" width="12.5" style="16" customWidth="1"/>
    <col min="17" max="16384" width="9.33203125" style="16"/>
  </cols>
  <sheetData>
    <row r="1" spans="1:16" ht="53.25" customHeight="1" thickBot="1">
      <c r="A1" s="193"/>
      <c r="B1" s="195" t="s">
        <v>138</v>
      </c>
      <c r="C1" s="195"/>
      <c r="D1" s="195"/>
      <c r="E1" s="195"/>
      <c r="F1" s="195"/>
      <c r="G1" s="195"/>
      <c r="H1" s="195"/>
      <c r="I1" s="195"/>
      <c r="J1" s="195"/>
      <c r="K1" s="195"/>
      <c r="L1" s="195"/>
      <c r="M1" s="195"/>
      <c r="N1" s="196"/>
      <c r="O1" s="14"/>
      <c r="P1" s="15"/>
    </row>
    <row r="2" spans="1:16" ht="27" customHeight="1" thickBot="1">
      <c r="A2" s="193"/>
      <c r="B2" s="69" t="s">
        <v>18</v>
      </c>
      <c r="C2" s="71">
        <v>10</v>
      </c>
      <c r="D2" s="13"/>
      <c r="E2" s="13"/>
      <c r="F2" s="13"/>
      <c r="G2" s="13"/>
      <c r="H2" s="13"/>
      <c r="I2" s="13"/>
      <c r="J2" s="13"/>
      <c r="K2" s="13"/>
      <c r="L2" s="13"/>
      <c r="M2" s="13"/>
      <c r="N2" s="13"/>
      <c r="O2" s="17"/>
      <c r="P2" s="15"/>
    </row>
    <row r="3" spans="1:16" ht="27" customHeight="1" thickBot="1">
      <c r="A3" s="193"/>
      <c r="B3" s="70" t="s">
        <v>19</v>
      </c>
      <c r="C3" s="72" t="s">
        <v>20</v>
      </c>
      <c r="D3" s="13"/>
      <c r="E3" s="13"/>
      <c r="F3" s="13"/>
      <c r="G3" s="13"/>
      <c r="H3" s="13"/>
      <c r="I3" s="13"/>
      <c r="J3" s="13"/>
      <c r="K3" s="13"/>
      <c r="L3" s="13"/>
      <c r="M3" s="13"/>
      <c r="N3" s="13"/>
      <c r="O3" s="17"/>
      <c r="P3" s="15"/>
    </row>
    <row r="4" spans="1:16" ht="30.6" customHeight="1" thickBot="1">
      <c r="A4" s="193"/>
      <c r="B4" s="197" t="s">
        <v>21</v>
      </c>
      <c r="C4" s="198"/>
      <c r="D4" s="198"/>
      <c r="E4" s="198"/>
      <c r="F4" s="198"/>
      <c r="G4" s="198"/>
      <c r="H4" s="198"/>
      <c r="I4" s="198"/>
      <c r="J4" s="198"/>
      <c r="K4" s="198"/>
      <c r="L4" s="198"/>
      <c r="M4" s="199"/>
      <c r="N4" s="13"/>
      <c r="O4" s="17"/>
    </row>
    <row r="5" spans="1:16" ht="35.65" customHeight="1" thickBot="1">
      <c r="A5" s="193"/>
      <c r="B5" s="200"/>
      <c r="C5" s="201"/>
      <c r="D5" s="201"/>
      <c r="E5" s="201"/>
      <c r="F5" s="201"/>
      <c r="G5" s="201"/>
      <c r="H5" s="201"/>
      <c r="I5" s="201"/>
      <c r="J5" s="201"/>
      <c r="K5" s="201"/>
      <c r="L5" s="201"/>
      <c r="M5" s="202"/>
      <c r="N5" s="18"/>
      <c r="O5" s="19"/>
    </row>
    <row r="6" spans="1:16" ht="35.65" customHeight="1" thickBot="1">
      <c r="A6" s="193"/>
      <c r="B6" s="57" t="s">
        <v>22</v>
      </c>
      <c r="C6" s="64">
        <v>9</v>
      </c>
      <c r="D6" s="58"/>
      <c r="E6" s="58"/>
      <c r="F6" s="58"/>
      <c r="G6" s="58"/>
      <c r="H6" s="58"/>
      <c r="I6" s="58"/>
      <c r="J6" s="58"/>
      <c r="K6" s="58"/>
      <c r="L6" s="58"/>
      <c r="M6" s="59"/>
      <c r="N6" s="18"/>
      <c r="O6" s="19"/>
    </row>
    <row r="7" spans="1:16" ht="39" customHeight="1" thickBot="1">
      <c r="A7" s="193"/>
      <c r="B7" s="20" t="s">
        <v>23</v>
      </c>
      <c r="C7" s="201"/>
      <c r="D7" s="201"/>
      <c r="E7" s="201"/>
      <c r="F7" s="21" t="s">
        <v>24</v>
      </c>
      <c r="G7" s="21"/>
      <c r="H7" s="21"/>
      <c r="I7" s="21"/>
      <c r="J7" s="203">
        <v>20</v>
      </c>
      <c r="K7" s="204"/>
      <c r="L7" s="67" t="s">
        <v>25</v>
      </c>
      <c r="M7" s="68" t="s">
        <v>137</v>
      </c>
      <c r="N7" s="19"/>
      <c r="O7" s="19"/>
      <c r="P7" s="23"/>
    </row>
    <row r="8" spans="1:16" ht="25.15" customHeight="1" thickBot="1">
      <c r="A8" s="193"/>
      <c r="B8" s="20" t="s">
        <v>26</v>
      </c>
      <c r="C8" s="24"/>
      <c r="D8" s="205" t="s">
        <v>27</v>
      </c>
      <c r="E8" s="206"/>
      <c r="F8" s="21" t="s">
        <v>28</v>
      </c>
      <c r="G8" s="21"/>
      <c r="H8" s="207">
        <v>325</v>
      </c>
      <c r="I8" s="208"/>
      <c r="J8" s="21"/>
      <c r="M8" s="22"/>
      <c r="N8" s="19"/>
      <c r="O8" s="19"/>
    </row>
    <row r="9" spans="1:16" ht="18.75" customHeight="1">
      <c r="A9" s="193"/>
      <c r="B9" s="84" t="s">
        <v>29</v>
      </c>
      <c r="C9" s="114">
        <f>Valeur_de_point_V1</f>
        <v>7.15</v>
      </c>
      <c r="G9" s="209" t="s">
        <v>30</v>
      </c>
      <c r="H9" s="210"/>
      <c r="I9" s="211"/>
      <c r="J9" s="19"/>
      <c r="K9" s="85"/>
      <c r="L9" s="212" t="s">
        <v>31</v>
      </c>
      <c r="M9" s="213"/>
      <c r="N9" s="19"/>
      <c r="O9" s="19"/>
    </row>
    <row r="10" spans="1:16" ht="18.75" customHeight="1" thickBot="1">
      <c r="A10" s="193"/>
      <c r="B10" s="86" t="s">
        <v>32</v>
      </c>
      <c r="C10" s="115">
        <f>Valeur_de_point_V2</f>
        <v>6.73</v>
      </c>
      <c r="G10" s="87"/>
      <c r="H10" s="214"/>
      <c r="I10" s="215"/>
      <c r="J10" s="19"/>
      <c r="K10" s="88"/>
      <c r="L10" s="214"/>
      <c r="M10" s="216"/>
      <c r="N10" s="19"/>
      <c r="O10" s="19"/>
    </row>
    <row r="11" spans="1:16" ht="29.25" customHeight="1" thickBot="1">
      <c r="A11" s="193"/>
      <c r="B11" s="89" t="s">
        <v>33</v>
      </c>
      <c r="C11" s="116">
        <f>Paramètres!F5</f>
        <v>257</v>
      </c>
      <c r="D11" s="90" t="s">
        <v>34</v>
      </c>
      <c r="E11" s="91" t="s">
        <v>35</v>
      </c>
      <c r="F11" s="118">
        <f>C9</f>
        <v>7.15</v>
      </c>
      <c r="G11" s="119" t="s">
        <v>35</v>
      </c>
      <c r="H11" s="176">
        <f>SUM($J$7)</f>
        <v>20</v>
      </c>
      <c r="I11" s="121" t="s">
        <v>36</v>
      </c>
      <c r="J11" s="122">
        <v>35</v>
      </c>
      <c r="K11" s="123"/>
      <c r="L11" s="124">
        <f t="shared" ref="L11:L17" si="0">C11*F11*H11/J11</f>
        <v>1050.0285714285715</v>
      </c>
      <c r="M11" s="125" t="s">
        <v>37</v>
      </c>
      <c r="O11" s="19"/>
    </row>
    <row r="12" spans="1:16" ht="32.1" customHeight="1" thickBot="1">
      <c r="A12" s="193"/>
      <c r="B12" s="96" t="s">
        <v>38</v>
      </c>
      <c r="C12" s="117">
        <f>H8-C11</f>
        <v>68</v>
      </c>
      <c r="D12" s="97" t="s">
        <v>39</v>
      </c>
      <c r="E12" s="98" t="s">
        <v>35</v>
      </c>
      <c r="F12" s="126">
        <f>C10</f>
        <v>6.73</v>
      </c>
      <c r="G12" s="119" t="s">
        <v>35</v>
      </c>
      <c r="H12" s="176">
        <f t="shared" ref="H12:H17" si="1">SUM($J$7)</f>
        <v>20</v>
      </c>
      <c r="I12" s="121" t="s">
        <v>36</v>
      </c>
      <c r="J12" s="122">
        <v>35</v>
      </c>
      <c r="K12" s="127" t="s">
        <v>38</v>
      </c>
      <c r="L12" s="124">
        <f t="shared" si="0"/>
        <v>261.50857142857149</v>
      </c>
      <c r="M12" s="128" t="s">
        <v>40</v>
      </c>
    </row>
    <row r="13" spans="1:16" ht="32.1" customHeight="1" thickBot="1">
      <c r="A13" s="193"/>
      <c r="B13" s="100" t="s">
        <v>41</v>
      </c>
      <c r="C13" s="1">
        <v>5</v>
      </c>
      <c r="D13" s="101" t="s">
        <v>42</v>
      </c>
      <c r="E13" s="98" t="s">
        <v>35</v>
      </c>
      <c r="F13" s="126">
        <f>C10</f>
        <v>6.73</v>
      </c>
      <c r="G13" s="119" t="s">
        <v>35</v>
      </c>
      <c r="H13" s="176">
        <f>SUM($J$7)</f>
        <v>20</v>
      </c>
      <c r="I13" s="121" t="s">
        <v>36</v>
      </c>
      <c r="J13" s="122">
        <v>35</v>
      </c>
      <c r="K13" s="129" t="s">
        <v>38</v>
      </c>
      <c r="L13" s="124">
        <f t="shared" si="0"/>
        <v>19.228571428571431</v>
      </c>
      <c r="M13" s="128" t="s">
        <v>40</v>
      </c>
    </row>
    <row r="14" spans="1:16" ht="32.1" customHeight="1" thickBot="1">
      <c r="A14" s="194"/>
      <c r="B14" s="100" t="s">
        <v>43</v>
      </c>
      <c r="C14" s="2">
        <f>+(C6)*2</f>
        <v>18</v>
      </c>
      <c r="D14" s="101" t="s">
        <v>42</v>
      </c>
      <c r="E14" s="98" t="s">
        <v>35</v>
      </c>
      <c r="F14" s="126">
        <f>C9</f>
        <v>7.15</v>
      </c>
      <c r="G14" s="119" t="s">
        <v>35</v>
      </c>
      <c r="H14" s="176">
        <f t="shared" si="1"/>
        <v>20</v>
      </c>
      <c r="I14" s="121" t="s">
        <v>36</v>
      </c>
      <c r="J14" s="122">
        <v>35</v>
      </c>
      <c r="K14" s="129" t="s">
        <v>38</v>
      </c>
      <c r="L14" s="124">
        <f t="shared" si="0"/>
        <v>73.542857142857159</v>
      </c>
      <c r="M14" s="128" t="s">
        <v>40</v>
      </c>
    </row>
    <row r="15" spans="1:16" ht="32.1" customHeight="1" thickBot="1">
      <c r="A15" s="25"/>
      <c r="B15" s="100" t="s">
        <v>135</v>
      </c>
      <c r="C15" s="1"/>
      <c r="D15" s="102" t="s">
        <v>44</v>
      </c>
      <c r="E15" s="98" t="s">
        <v>35</v>
      </c>
      <c r="F15" s="126">
        <f>C9</f>
        <v>7.15</v>
      </c>
      <c r="G15" s="119" t="s">
        <v>35</v>
      </c>
      <c r="H15" s="176">
        <f t="shared" si="1"/>
        <v>20</v>
      </c>
      <c r="I15" s="121" t="s">
        <v>36</v>
      </c>
      <c r="J15" s="122">
        <v>35</v>
      </c>
      <c r="K15" s="129" t="s">
        <v>38</v>
      </c>
      <c r="L15" s="124">
        <f t="shared" si="0"/>
        <v>0</v>
      </c>
      <c r="M15" s="128" t="s">
        <v>40</v>
      </c>
    </row>
    <row r="16" spans="1:16" ht="32.1" customHeight="1" thickBot="1">
      <c r="A16" s="25"/>
      <c r="B16" s="100" t="s">
        <v>45</v>
      </c>
      <c r="C16" s="1">
        <v>0</v>
      </c>
      <c r="D16" s="101" t="s">
        <v>42</v>
      </c>
      <c r="E16" s="98" t="s">
        <v>35</v>
      </c>
      <c r="F16" s="126">
        <f>C10</f>
        <v>6.73</v>
      </c>
      <c r="G16" s="119" t="s">
        <v>35</v>
      </c>
      <c r="H16" s="176">
        <f t="shared" si="1"/>
        <v>20</v>
      </c>
      <c r="I16" s="121" t="s">
        <v>36</v>
      </c>
      <c r="J16" s="122">
        <v>35</v>
      </c>
      <c r="K16" s="129" t="s">
        <v>38</v>
      </c>
      <c r="L16" s="124">
        <f t="shared" si="0"/>
        <v>0</v>
      </c>
      <c r="M16" s="128" t="s">
        <v>40</v>
      </c>
    </row>
    <row r="17" spans="1:14" ht="32.1" customHeight="1" thickBot="1">
      <c r="A17" s="25"/>
      <c r="B17" s="100" t="s">
        <v>46</v>
      </c>
      <c r="C17" s="1">
        <v>0</v>
      </c>
      <c r="D17" s="101" t="s">
        <v>42</v>
      </c>
      <c r="E17" s="98" t="s">
        <v>35</v>
      </c>
      <c r="F17" s="126">
        <f>C10</f>
        <v>6.73</v>
      </c>
      <c r="G17" s="130" t="s">
        <v>35</v>
      </c>
      <c r="H17" s="176">
        <f t="shared" si="1"/>
        <v>20</v>
      </c>
      <c r="I17" s="131" t="s">
        <v>36</v>
      </c>
      <c r="J17" s="122">
        <v>35</v>
      </c>
      <c r="K17" s="129" t="s">
        <v>38</v>
      </c>
      <c r="L17" s="124">
        <f t="shared" si="0"/>
        <v>0</v>
      </c>
      <c r="M17" s="128" t="s">
        <v>40</v>
      </c>
    </row>
    <row r="18" spans="1:14" ht="32.1" customHeight="1" thickBot="1">
      <c r="A18" s="26"/>
      <c r="B18" s="100" t="s">
        <v>136</v>
      </c>
      <c r="C18" s="117">
        <f>IF(M7="OUI",8,0)</f>
        <v>8</v>
      </c>
      <c r="D18" s="101" t="s">
        <v>47</v>
      </c>
      <c r="E18" s="98" t="s">
        <v>35</v>
      </c>
      <c r="F18" s="126">
        <f>C9</f>
        <v>7.15</v>
      </c>
      <c r="G18" s="132"/>
      <c r="H18" s="120"/>
      <c r="I18" s="133"/>
      <c r="J18" s="122"/>
      <c r="K18" s="134" t="s">
        <v>38</v>
      </c>
      <c r="L18" s="135">
        <f>IF(J7&lt;24,C18*F18,"")</f>
        <v>57.2</v>
      </c>
      <c r="M18" s="136"/>
    </row>
    <row r="19" spans="1:14" ht="32.1" customHeight="1" thickBot="1">
      <c r="A19" s="26"/>
      <c r="B19" s="100" t="s">
        <v>48</v>
      </c>
      <c r="C19" s="1"/>
      <c r="D19" s="101"/>
      <c r="E19" s="98"/>
      <c r="F19" s="3"/>
      <c r="G19" s="104"/>
      <c r="H19" s="92"/>
      <c r="I19" s="105"/>
      <c r="J19" s="93"/>
      <c r="K19" s="106"/>
      <c r="L19" s="107">
        <f>C19</f>
        <v>0</v>
      </c>
      <c r="M19" s="108"/>
    </row>
    <row r="20" spans="1:14" ht="31.5" customHeight="1" thickBot="1">
      <c r="A20" s="26"/>
      <c r="B20" s="109" t="s">
        <v>49</v>
      </c>
      <c r="C20" s="1"/>
      <c r="D20" s="101" t="s">
        <v>42</v>
      </c>
      <c r="E20" s="98" t="s">
        <v>35</v>
      </c>
      <c r="F20" s="65">
        <f>C10</f>
        <v>6.73</v>
      </c>
      <c r="G20" s="110" t="s">
        <v>35</v>
      </c>
      <c r="H20" s="177">
        <f t="shared" ref="H20" si="2">SUM($J$7)</f>
        <v>20</v>
      </c>
      <c r="I20" s="103" t="s">
        <v>36</v>
      </c>
      <c r="J20" s="93">
        <v>35</v>
      </c>
      <c r="K20" s="106" t="s">
        <v>38</v>
      </c>
      <c r="L20" s="94">
        <f>C20*F20*H20/J20</f>
        <v>0</v>
      </c>
      <c r="M20" s="108" t="s">
        <v>40</v>
      </c>
    </row>
    <row r="21" spans="1:14" ht="30" customHeight="1" thickBot="1">
      <c r="A21" s="26"/>
      <c r="B21" s="111" t="s">
        <v>50</v>
      </c>
      <c r="C21" s="189"/>
      <c r="D21" s="189"/>
      <c r="E21" s="189"/>
      <c r="F21" s="189"/>
      <c r="G21" s="190"/>
      <c r="H21" s="190"/>
      <c r="I21" s="190"/>
      <c r="J21" s="191"/>
      <c r="K21" s="112" t="s">
        <v>51</v>
      </c>
      <c r="L21" s="137">
        <f>SUM(L11:L20)</f>
        <v>1461.5085714285717</v>
      </c>
      <c r="M21" s="113" t="s">
        <v>40</v>
      </c>
    </row>
    <row r="22" spans="1:14" ht="40.15" customHeight="1" thickTop="1">
      <c r="A22" s="27"/>
      <c r="B22" s="28"/>
      <c r="C22" s="29"/>
      <c r="D22" s="29"/>
      <c r="E22" s="29"/>
      <c r="F22" s="29"/>
      <c r="G22" s="29"/>
      <c r="H22" s="29"/>
      <c r="I22" s="29"/>
      <c r="J22" s="192" t="s">
        <v>52</v>
      </c>
      <c r="K22" s="192"/>
      <c r="L22" s="192"/>
      <c r="M22" s="192"/>
      <c r="N22" s="30"/>
    </row>
    <row r="24" spans="1:14">
      <c r="A24" s="31"/>
      <c r="B24" s="31"/>
      <c r="C24" s="32"/>
      <c r="D24" s="31"/>
      <c r="E24" s="31"/>
      <c r="F24" s="31"/>
      <c r="G24" s="31"/>
      <c r="H24" s="31"/>
    </row>
    <row r="25" spans="1:14">
      <c r="A25" s="33"/>
      <c r="B25" s="34" t="s">
        <v>53</v>
      </c>
      <c r="C25" s="7" t="s">
        <v>54</v>
      </c>
      <c r="D25" s="182" t="s">
        <v>55</v>
      </c>
      <c r="E25" s="183"/>
      <c r="F25" s="182" t="s">
        <v>56</v>
      </c>
      <c r="G25" s="183"/>
      <c r="H25" s="31"/>
    </row>
    <row r="26" spans="1:14">
      <c r="A26" s="31"/>
      <c r="B26" s="33"/>
      <c r="C26" s="32"/>
      <c r="D26" s="33" t="s">
        <v>57</v>
      </c>
      <c r="E26" s="33" t="s">
        <v>58</v>
      </c>
      <c r="F26" s="33" t="s">
        <v>57</v>
      </c>
      <c r="G26" s="33" t="s">
        <v>58</v>
      </c>
      <c r="H26" s="31"/>
    </row>
    <row r="27" spans="1:14">
      <c r="A27" s="31"/>
      <c r="B27" s="35" t="s">
        <v>59</v>
      </c>
      <c r="C27" s="138">
        <f>$D$65</f>
        <v>1461.5085714285717</v>
      </c>
      <c r="D27" s="139">
        <f>IF(C3="oui",Paramètres!C20,0)</f>
        <v>0</v>
      </c>
      <c r="E27" s="140">
        <f>D27*C27/100</f>
        <v>0</v>
      </c>
      <c r="F27" s="139">
        <f>IF($D$65&lt;(Smic_horaire*2.4721*J7*52/12),7,13)</f>
        <v>7</v>
      </c>
      <c r="G27" s="140">
        <f t="shared" ref="G27:G43" si="3">F27*C27/100</f>
        <v>102.30560000000001</v>
      </c>
      <c r="H27" s="31"/>
    </row>
    <row r="28" spans="1:14">
      <c r="A28" s="33"/>
      <c r="B28" s="35" t="s">
        <v>60</v>
      </c>
      <c r="C28" s="138">
        <f>$D$65</f>
        <v>1461.5085714285717</v>
      </c>
      <c r="D28" s="139">
        <v>0.56999999999999995</v>
      </c>
      <c r="E28" s="140">
        <f>D28*C28/100</f>
        <v>8.3305988571428582</v>
      </c>
      <c r="F28" s="139">
        <v>0.56999999999999995</v>
      </c>
      <c r="G28" s="140">
        <f t="shared" si="3"/>
        <v>8.3305988571428582</v>
      </c>
      <c r="H28" s="31"/>
    </row>
    <row r="29" spans="1:14">
      <c r="A29" s="33"/>
      <c r="B29" s="35" t="s">
        <v>61</v>
      </c>
      <c r="C29" s="51">
        <f>PMSS</f>
        <v>3925</v>
      </c>
      <c r="D29" s="52">
        <f>0.97/2</f>
        <v>0.48499999999999999</v>
      </c>
      <c r="E29" s="53">
        <f t="shared" ref="E29:E37" si="4">D29*C29/100</f>
        <v>19.036249999999999</v>
      </c>
      <c r="F29" s="52">
        <f>0.97/2</f>
        <v>0.48499999999999999</v>
      </c>
      <c r="G29" s="53">
        <f t="shared" si="3"/>
        <v>19.036249999999999</v>
      </c>
      <c r="H29" s="31"/>
    </row>
    <row r="30" spans="1:14">
      <c r="A30" s="33"/>
      <c r="B30" s="35" t="s">
        <v>62</v>
      </c>
      <c r="C30" s="36">
        <f>$D$65</f>
        <v>1461.5085714285717</v>
      </c>
      <c r="D30" s="5">
        <v>0</v>
      </c>
      <c r="E30" s="6">
        <f t="shared" si="4"/>
        <v>0</v>
      </c>
      <c r="F30" s="52">
        <v>1.3</v>
      </c>
      <c r="G30" s="6">
        <f t="shared" si="3"/>
        <v>18.999611428571434</v>
      </c>
      <c r="H30" s="31"/>
    </row>
    <row r="31" spans="1:14">
      <c r="A31" s="33"/>
      <c r="B31" s="35" t="s">
        <v>63</v>
      </c>
      <c r="C31" s="36">
        <f>C71</f>
        <v>1461.5085714285717</v>
      </c>
      <c r="D31" s="5">
        <v>6.9</v>
      </c>
      <c r="E31" s="6">
        <f t="shared" si="4"/>
        <v>100.84409142857145</v>
      </c>
      <c r="F31" s="5">
        <v>8.5500000000000007</v>
      </c>
      <c r="G31" s="6">
        <f t="shared" si="3"/>
        <v>124.95898285714289</v>
      </c>
      <c r="H31" s="31"/>
    </row>
    <row r="32" spans="1:14">
      <c r="A32" s="31"/>
      <c r="B32" s="35" t="s">
        <v>64</v>
      </c>
      <c r="C32" s="36">
        <f>$D$65</f>
        <v>1461.5085714285717</v>
      </c>
      <c r="D32" s="5">
        <v>0.4</v>
      </c>
      <c r="E32" s="6">
        <f t="shared" si="4"/>
        <v>5.8460342857142873</v>
      </c>
      <c r="F32" s="5">
        <v>2.02</v>
      </c>
      <c r="G32" s="6">
        <f t="shared" si="3"/>
        <v>29.522473142857148</v>
      </c>
      <c r="H32" s="31"/>
    </row>
    <row r="33" spans="1:13">
      <c r="A33" s="37"/>
      <c r="B33" s="35" t="s">
        <v>65</v>
      </c>
      <c r="C33" s="36">
        <f>C71</f>
        <v>1461.5085714285717</v>
      </c>
      <c r="D33" s="52">
        <v>5.08</v>
      </c>
      <c r="E33" s="6">
        <f t="shared" si="4"/>
        <v>74.244635428571442</v>
      </c>
      <c r="F33" s="52">
        <v>5.08</v>
      </c>
      <c r="G33" s="6">
        <f t="shared" si="3"/>
        <v>74.244635428571442</v>
      </c>
      <c r="H33" s="31"/>
    </row>
    <row r="34" spans="1:13">
      <c r="A34" s="31"/>
      <c r="B34" s="35" t="s">
        <v>66</v>
      </c>
      <c r="C34" s="138">
        <f>MAX(C73,0)</f>
        <v>0</v>
      </c>
      <c r="D34" s="139">
        <v>8.64</v>
      </c>
      <c r="E34" s="140">
        <f t="shared" si="4"/>
        <v>0</v>
      </c>
      <c r="F34" s="139">
        <v>12.95</v>
      </c>
      <c r="G34" s="140">
        <f t="shared" si="3"/>
        <v>0</v>
      </c>
      <c r="H34" s="31"/>
    </row>
    <row r="35" spans="1:13">
      <c r="A35" s="33"/>
      <c r="B35" s="35" t="s">
        <v>67</v>
      </c>
      <c r="C35" s="138">
        <f>C71</f>
        <v>1461.5085714285717</v>
      </c>
      <c r="D35" s="139">
        <v>0.86</v>
      </c>
      <c r="E35" s="140">
        <f t="shared" si="4"/>
        <v>12.568973714285717</v>
      </c>
      <c r="F35" s="139">
        <v>1.29</v>
      </c>
      <c r="G35" s="140">
        <f t="shared" si="3"/>
        <v>18.853460571428574</v>
      </c>
      <c r="H35" s="31"/>
    </row>
    <row r="36" spans="1:13">
      <c r="A36" s="31"/>
      <c r="B36" s="35" t="s">
        <v>68</v>
      </c>
      <c r="C36" s="138">
        <f>MAX(C73,0)</f>
        <v>0</v>
      </c>
      <c r="D36" s="139">
        <v>1.08</v>
      </c>
      <c r="E36" s="140">
        <f t="shared" si="4"/>
        <v>0</v>
      </c>
      <c r="F36" s="139">
        <v>1.62</v>
      </c>
      <c r="G36" s="140">
        <f t="shared" si="3"/>
        <v>0</v>
      </c>
      <c r="H36" s="31"/>
    </row>
    <row r="37" spans="1:13">
      <c r="A37" s="31"/>
      <c r="B37" s="35" t="s">
        <v>69</v>
      </c>
      <c r="C37" s="138">
        <f>IF(D65&lt;=C71,0,D65)</f>
        <v>0</v>
      </c>
      <c r="D37" s="139">
        <v>0.14000000000000001</v>
      </c>
      <c r="E37" s="140">
        <f t="shared" si="4"/>
        <v>0</v>
      </c>
      <c r="F37" s="139">
        <v>0.21</v>
      </c>
      <c r="G37" s="140">
        <f t="shared" si="3"/>
        <v>0</v>
      </c>
      <c r="H37" s="31"/>
    </row>
    <row r="38" spans="1:13">
      <c r="A38" s="33"/>
      <c r="B38" s="35" t="s">
        <v>70</v>
      </c>
      <c r="C38" s="180">
        <f>D65</f>
        <v>1461.5085714285717</v>
      </c>
      <c r="D38" s="139"/>
      <c r="E38" s="140"/>
      <c r="F38" s="139">
        <f>IF($D$65&lt;(3.4609*Smic_horaire*J7*52/12),3.45,5.25)</f>
        <v>3.45</v>
      </c>
      <c r="G38" s="140">
        <f t="shared" si="3"/>
        <v>50.422045714285723</v>
      </c>
      <c r="H38" s="31"/>
    </row>
    <row r="39" spans="1:13">
      <c r="A39" s="33"/>
      <c r="B39" s="35" t="s">
        <v>71</v>
      </c>
      <c r="C39" s="138">
        <f>C74</f>
        <v>1461.5085714285717</v>
      </c>
      <c r="D39" s="139">
        <v>0</v>
      </c>
      <c r="E39" s="140"/>
      <c r="F39" s="139">
        <v>4.05</v>
      </c>
      <c r="G39" s="140">
        <f t="shared" si="3"/>
        <v>59.191097142857153</v>
      </c>
      <c r="H39" s="31"/>
    </row>
    <row r="40" spans="1:13">
      <c r="A40" s="33"/>
      <c r="B40" s="35" t="s">
        <v>72</v>
      </c>
      <c r="C40" s="138">
        <f>C74</f>
        <v>1461.5085714285717</v>
      </c>
      <c r="D40" s="139"/>
      <c r="E40" s="140"/>
      <c r="F40" s="139">
        <v>0.25</v>
      </c>
      <c r="G40" s="140">
        <f t="shared" si="3"/>
        <v>3.6537714285714293</v>
      </c>
      <c r="H40" s="31"/>
    </row>
    <row r="41" spans="1:13" ht="30.6" customHeight="1">
      <c r="A41" s="33"/>
      <c r="B41" s="60" t="s">
        <v>73</v>
      </c>
      <c r="C41" s="36">
        <f>IF(C2&lt;11,0,D65)</f>
        <v>0</v>
      </c>
      <c r="D41" s="5"/>
      <c r="E41" s="33"/>
      <c r="F41" s="52">
        <v>1.3</v>
      </c>
      <c r="G41" s="6">
        <f t="shared" si="3"/>
        <v>0</v>
      </c>
      <c r="H41" s="31"/>
    </row>
    <row r="42" spans="1:13">
      <c r="A42" s="33"/>
      <c r="B42" s="35" t="s">
        <v>74</v>
      </c>
      <c r="C42" s="36">
        <f>D65</f>
        <v>1461.5085714285717</v>
      </c>
      <c r="D42" s="5"/>
      <c r="E42" s="33"/>
      <c r="F42" s="5">
        <v>0.3</v>
      </c>
      <c r="G42" s="6">
        <f t="shared" si="3"/>
        <v>4.384525714285715</v>
      </c>
      <c r="H42" s="31"/>
    </row>
    <row r="43" spans="1:13">
      <c r="A43" s="33"/>
      <c r="B43" s="35" t="s">
        <v>75</v>
      </c>
      <c r="C43" s="36">
        <f>IF(C2&lt;50,C71,D65)</f>
        <v>1461.5085714285717</v>
      </c>
      <c r="D43" s="5"/>
      <c r="E43" s="33"/>
      <c r="F43" s="5">
        <f>IF(C2&lt;50,0.1,0.5)</f>
        <v>0.1</v>
      </c>
      <c r="G43" s="6">
        <f t="shared" si="3"/>
        <v>1.4615085714285718</v>
      </c>
      <c r="H43" s="38"/>
    </row>
    <row r="44" spans="1:13">
      <c r="A44" s="33"/>
      <c r="B44" s="35" t="s">
        <v>76</v>
      </c>
      <c r="C44" s="36">
        <f>$D$65</f>
        <v>1461.5085714285717</v>
      </c>
      <c r="D44" s="5"/>
      <c r="E44" s="6"/>
      <c r="F44" s="5">
        <v>1.6E-2</v>
      </c>
      <c r="G44" s="6">
        <f>F44*C44/100</f>
        <v>0.2338413714285715</v>
      </c>
      <c r="H44" s="31"/>
    </row>
    <row r="45" spans="1:13">
      <c r="A45" s="33"/>
      <c r="B45" s="35" t="s">
        <v>77</v>
      </c>
      <c r="C45" s="138">
        <f>IF(C2&lt;11,0,(0.55%*C28+G29))</f>
        <v>0</v>
      </c>
      <c r="D45" s="5"/>
      <c r="E45" s="6"/>
      <c r="F45" s="5">
        <v>8</v>
      </c>
      <c r="G45" s="6">
        <f>F45*C45/100</f>
        <v>0</v>
      </c>
      <c r="H45" s="31"/>
    </row>
    <row r="46" spans="1:13" ht="20.25">
      <c r="A46" s="39"/>
      <c r="B46" s="35" t="s">
        <v>78</v>
      </c>
      <c r="C46" s="138">
        <f>$D$65</f>
        <v>1461.5085714285717</v>
      </c>
      <c r="D46" s="139"/>
      <c r="E46" s="181"/>
      <c r="F46" s="139">
        <f>IF(C2&lt;11,0.55,1)</f>
        <v>0.55000000000000004</v>
      </c>
      <c r="G46" s="140">
        <f t="shared" ref="G46:G55" si="5">F46*C46/100</f>
        <v>8.0382971428571448</v>
      </c>
      <c r="H46" s="31"/>
      <c r="J46" s="185" t="s">
        <v>79</v>
      </c>
      <c r="K46" s="185"/>
      <c r="L46" s="185"/>
      <c r="M46" s="185"/>
    </row>
    <row r="47" spans="1:13">
      <c r="A47" s="39"/>
      <c r="B47" s="35" t="s">
        <v>80</v>
      </c>
      <c r="C47" s="138">
        <f>$D$65</f>
        <v>1461.5085714285717</v>
      </c>
      <c r="D47" s="139"/>
      <c r="E47" s="181"/>
      <c r="F47" s="139">
        <f>IF(C2&lt;11,1.55,1.1)</f>
        <v>1.55</v>
      </c>
      <c r="G47" s="140">
        <f t="shared" si="5"/>
        <v>22.653382857142859</v>
      </c>
      <c r="H47" s="31"/>
      <c r="J47" s="186"/>
      <c r="K47" s="186"/>
      <c r="L47" s="186"/>
      <c r="M47" s="141"/>
    </row>
    <row r="48" spans="1:13">
      <c r="A48" s="39"/>
      <c r="B48" s="35"/>
      <c r="C48" s="36"/>
      <c r="D48" s="5"/>
      <c r="E48" s="33"/>
      <c r="F48" s="5"/>
      <c r="G48" s="6"/>
      <c r="H48" s="31"/>
      <c r="J48" s="141"/>
      <c r="K48" s="141"/>
      <c r="L48" s="141"/>
      <c r="M48" s="141"/>
    </row>
    <row r="49" spans="1:13" ht="13.15" customHeight="1">
      <c r="A49" s="39"/>
      <c r="B49" s="35" t="s">
        <v>81</v>
      </c>
      <c r="C49" s="36">
        <f>$D$65</f>
        <v>1461.5085714285717</v>
      </c>
      <c r="D49" s="5"/>
      <c r="E49" s="33"/>
      <c r="F49" s="5">
        <v>0.1</v>
      </c>
      <c r="G49" s="6">
        <f t="shared" si="5"/>
        <v>1.4615085714285718</v>
      </c>
      <c r="H49" s="31"/>
      <c r="J49" s="186" t="s">
        <v>82</v>
      </c>
      <c r="K49" s="186"/>
      <c r="L49" s="186"/>
      <c r="M49" s="142">
        <f>(G53+G54+G55)</f>
        <v>94.739565078571459</v>
      </c>
    </row>
    <row r="50" spans="1:13" ht="24.6" customHeight="1">
      <c r="A50" s="33"/>
      <c r="B50" s="60" t="s">
        <v>83</v>
      </c>
      <c r="C50" s="36">
        <f>D65</f>
        <v>1461.5085714285717</v>
      </c>
      <c r="D50" s="5"/>
      <c r="E50" s="6"/>
      <c r="F50" s="5">
        <f>IF(C2&lt;50,0,0.45)</f>
        <v>0</v>
      </c>
      <c r="G50" s="6">
        <f t="shared" si="5"/>
        <v>0</v>
      </c>
      <c r="H50" s="38"/>
      <c r="J50" s="186"/>
      <c r="K50" s="186"/>
      <c r="L50" s="186"/>
      <c r="M50" s="142"/>
    </row>
    <row r="51" spans="1:13" ht="13.15" customHeight="1">
      <c r="A51" s="39"/>
      <c r="B51" s="35" t="s">
        <v>84</v>
      </c>
      <c r="C51" s="36">
        <f>(98.25%*$D$65)+($C$28*0.55%)+$G$29</f>
        <v>1463.006718571429</v>
      </c>
      <c r="D51" s="5">
        <v>6.8</v>
      </c>
      <c r="E51" s="6">
        <f>D51*C51/100</f>
        <v>99.484456862857172</v>
      </c>
      <c r="F51" s="5"/>
      <c r="G51" s="6"/>
      <c r="H51" s="31"/>
      <c r="J51" s="186"/>
      <c r="K51" s="186"/>
      <c r="L51" s="186"/>
      <c r="M51" s="141"/>
    </row>
    <row r="52" spans="1:13" ht="13.15" customHeight="1">
      <c r="A52" s="39"/>
      <c r="B52" s="35" t="s">
        <v>85</v>
      </c>
      <c r="C52" s="36">
        <f>(98.25%*$D$65)+($C$28*0.55%)+$G$29</f>
        <v>1463.006718571429</v>
      </c>
      <c r="D52" s="5">
        <v>2.9</v>
      </c>
      <c r="E52" s="6">
        <f>D52*C52/100</f>
        <v>42.427194838571438</v>
      </c>
      <c r="F52" s="5"/>
      <c r="G52" s="6"/>
      <c r="H52" s="31"/>
      <c r="J52" s="186" t="s">
        <v>86</v>
      </c>
      <c r="K52" s="186"/>
      <c r="L52" s="186"/>
      <c r="M52" s="142">
        <f>D65</f>
        <v>1461.5085714285717</v>
      </c>
    </row>
    <row r="53" spans="1:13" ht="12.6" customHeight="1">
      <c r="A53" s="33"/>
      <c r="B53" s="40" t="s">
        <v>87</v>
      </c>
      <c r="C53" s="36">
        <f>$D$65+C28*0.55%+G29</f>
        <v>1488.5831185714289</v>
      </c>
      <c r="D53" s="5"/>
      <c r="E53" s="6"/>
      <c r="F53" s="5">
        <v>4.25</v>
      </c>
      <c r="G53" s="6">
        <f t="shared" si="5"/>
        <v>63.264782539285733</v>
      </c>
      <c r="H53" s="31"/>
      <c r="J53" s="187" t="s">
        <v>88</v>
      </c>
      <c r="K53" s="187"/>
      <c r="L53" s="187"/>
      <c r="M53" s="188">
        <f>F65-M49</f>
        <v>448.36900794285714</v>
      </c>
    </row>
    <row r="54" spans="1:13" ht="13.15" customHeight="1">
      <c r="A54" s="33"/>
      <c r="B54" s="40" t="s">
        <v>89</v>
      </c>
      <c r="C54" s="36">
        <f>IF(C53&gt;=tranche_1_taxe_salaire,IF(C53&gt;=tranche_2_taxe_salaire,tranche_2_taxe_salaire-tranche_1_taxe_salaire,C53-tranche_1_taxe_salaire),0)</f>
        <v>740.58311857142894</v>
      </c>
      <c r="D54" s="5"/>
      <c r="E54" s="6"/>
      <c r="F54" s="5">
        <v>4.25</v>
      </c>
      <c r="G54" s="6">
        <f t="shared" si="5"/>
        <v>31.47478253928573</v>
      </c>
      <c r="H54" s="31"/>
      <c r="J54" s="187"/>
      <c r="K54" s="187"/>
      <c r="L54" s="187"/>
      <c r="M54" s="188"/>
    </row>
    <row r="55" spans="1:13" ht="13.15" customHeight="1">
      <c r="A55" s="33"/>
      <c r="B55" s="40" t="s">
        <v>90</v>
      </c>
      <c r="C55" s="36">
        <f>IF(C53&gt;tranche_2_taxe_salaire,C53-tranche_2_taxe_salaire,0)</f>
        <v>0</v>
      </c>
      <c r="D55" s="5"/>
      <c r="E55" s="6"/>
      <c r="F55" s="5">
        <v>9.35</v>
      </c>
      <c r="G55" s="6">
        <f t="shared" si="5"/>
        <v>0</v>
      </c>
      <c r="H55" s="31"/>
      <c r="J55" s="186" t="s">
        <v>91</v>
      </c>
      <c r="K55" s="186"/>
      <c r="L55" s="186"/>
      <c r="M55" s="142">
        <f>(E58+G59)</f>
        <v>114</v>
      </c>
    </row>
    <row r="56" spans="1:13" ht="13.15" customHeight="1">
      <c r="A56" s="33"/>
      <c r="B56" s="41" t="s">
        <v>92</v>
      </c>
      <c r="C56" s="159">
        <f>D65</f>
        <v>1461.5085714285717</v>
      </c>
      <c r="D56" s="160"/>
      <c r="E56" s="161"/>
      <c r="F56" s="160">
        <f>IF(C2&lt;50,-C78,-C79)</f>
        <v>-6.8000000000000005E-2</v>
      </c>
      <c r="G56" s="161">
        <f>IF(F56&gt;0,0,C56*F56)</f>
        <v>-99.382582857142879</v>
      </c>
      <c r="H56" s="38"/>
      <c r="J56" s="186"/>
      <c r="K56" s="186"/>
      <c r="L56" s="186"/>
      <c r="M56" s="142"/>
    </row>
    <row r="57" spans="1:13" ht="15">
      <c r="A57" s="42"/>
      <c r="B57" s="63" t="s">
        <v>93</v>
      </c>
      <c r="C57" s="7"/>
      <c r="D57" s="12"/>
      <c r="E57" s="10">
        <f>SUM(E27:E56)</f>
        <v>362.78223541571435</v>
      </c>
      <c r="F57" s="9"/>
      <c r="G57" s="10">
        <f>SUM(G27:G56)</f>
        <v>543.10857302142858</v>
      </c>
      <c r="H57" s="44"/>
      <c r="J57" s="186"/>
      <c r="K57" s="186"/>
      <c r="L57" s="186"/>
      <c r="M57" s="142"/>
    </row>
    <row r="58" spans="1:13">
      <c r="A58" s="42"/>
      <c r="B58" s="12" t="s">
        <v>94</v>
      </c>
      <c r="C58" s="54">
        <v>75</v>
      </c>
      <c r="D58" s="8"/>
      <c r="E58" s="9">
        <f>IF(J7&lt;17.5,C58/2*J7/17.5,C58*50%)</f>
        <v>37.5</v>
      </c>
      <c r="F58" s="9"/>
      <c r="G58" s="10"/>
      <c r="H58" s="31"/>
      <c r="J58" s="184" t="s">
        <v>95</v>
      </c>
      <c r="K58" s="184"/>
      <c r="L58" s="184"/>
      <c r="M58" s="143">
        <f>SUM(M49:M57)</f>
        <v>2118.6171444500005</v>
      </c>
    </row>
    <row r="59" spans="1:13">
      <c r="A59" s="42"/>
      <c r="B59" s="61" t="s">
        <v>96</v>
      </c>
      <c r="C59" s="62">
        <v>127.5</v>
      </c>
      <c r="D59" s="55">
        <v>0.4</v>
      </c>
      <c r="E59" s="11">
        <f>-C59*D59</f>
        <v>-51</v>
      </c>
      <c r="F59" s="56">
        <v>0.6</v>
      </c>
      <c r="G59" s="12">
        <f>C59*F59</f>
        <v>76.5</v>
      </c>
      <c r="H59" s="31"/>
    </row>
    <row r="60" spans="1:13" ht="15">
      <c r="B60" s="63" t="s">
        <v>97</v>
      </c>
      <c r="C60" s="158">
        <f>D65-E57</f>
        <v>1098.7263360128572</v>
      </c>
      <c r="D60" s="42"/>
      <c r="E60" s="42"/>
      <c r="F60" s="42"/>
      <c r="G60" s="42"/>
      <c r="H60" s="31"/>
    </row>
    <row r="61" spans="1:13" ht="15">
      <c r="B61" s="63" t="s">
        <v>98</v>
      </c>
      <c r="C61" s="158">
        <f>D65-E57+E52+G29</f>
        <v>1160.1897808514288</v>
      </c>
      <c r="D61" s="42"/>
      <c r="E61" s="42"/>
      <c r="F61" s="42"/>
      <c r="G61" s="42"/>
      <c r="H61" s="31"/>
    </row>
    <row r="62" spans="1:13">
      <c r="B62" s="45"/>
      <c r="C62" s="46"/>
      <c r="D62" s="42"/>
      <c r="E62" s="42"/>
      <c r="F62" s="42"/>
      <c r="G62" s="42"/>
      <c r="H62" s="31"/>
    </row>
    <row r="63" spans="1:13">
      <c r="A63" s="42"/>
      <c r="C63" s="46"/>
      <c r="D63" s="42"/>
      <c r="E63" s="42"/>
      <c r="F63" s="42"/>
      <c r="G63" s="42"/>
      <c r="H63" s="31"/>
    </row>
    <row r="64" spans="1:13" ht="38.25">
      <c r="B64" s="47"/>
      <c r="C64" s="45" t="s">
        <v>99</v>
      </c>
      <c r="D64" s="144" t="s">
        <v>100</v>
      </c>
      <c r="E64" s="145" t="s">
        <v>101</v>
      </c>
      <c r="F64" s="146" t="s">
        <v>102</v>
      </c>
      <c r="G64" s="147" t="s">
        <v>103</v>
      </c>
      <c r="H64" s="31"/>
    </row>
    <row r="65" spans="1:8">
      <c r="A65" s="31"/>
      <c r="B65" s="47"/>
      <c r="C65" s="48"/>
      <c r="D65" s="148">
        <f>L21</f>
        <v>1461.5085714285717</v>
      </c>
      <c r="E65" s="149">
        <f>D65-E57+E58+E59</f>
        <v>1085.2263360128572</v>
      </c>
      <c r="F65" s="148">
        <f>G57</f>
        <v>543.10857302142858</v>
      </c>
      <c r="G65" s="149">
        <f>F65+D65+E58+G59</f>
        <v>2118.6171444500005</v>
      </c>
      <c r="H65" s="31"/>
    </row>
    <row r="66" spans="1:8">
      <c r="A66" s="31"/>
      <c r="B66" s="31"/>
      <c r="C66" s="32"/>
      <c r="D66" s="31"/>
      <c r="E66" s="31"/>
      <c r="F66" s="31"/>
      <c r="G66" s="31"/>
      <c r="H66" s="31"/>
    </row>
    <row r="67" spans="1:8">
      <c r="A67" s="31"/>
      <c r="B67" s="31"/>
      <c r="C67" s="32"/>
      <c r="D67" s="31"/>
      <c r="E67" s="31"/>
      <c r="F67" s="31"/>
      <c r="G67" s="31"/>
      <c r="H67" s="31"/>
    </row>
    <row r="68" spans="1:8" ht="15.75">
      <c r="B68" s="150" t="s">
        <v>104</v>
      </c>
      <c r="C68" s="151"/>
      <c r="D68" s="31"/>
      <c r="E68" s="49"/>
      <c r="F68" s="31"/>
      <c r="G68" s="31"/>
      <c r="H68" s="31"/>
    </row>
    <row r="69" spans="1:8">
      <c r="B69" s="152" t="s">
        <v>3</v>
      </c>
      <c r="C69" s="153">
        <f>PMSS</f>
        <v>3925</v>
      </c>
      <c r="D69" s="31"/>
      <c r="E69" s="31"/>
      <c r="F69" s="31"/>
      <c r="G69" s="31"/>
      <c r="H69" s="31"/>
    </row>
    <row r="70" spans="1:8">
      <c r="B70" s="154" t="s">
        <v>105</v>
      </c>
      <c r="C70" s="155">
        <f>J7/35</f>
        <v>0.5714285714285714</v>
      </c>
    </row>
    <row r="71" spans="1:8">
      <c r="B71" s="154" t="s">
        <v>106</v>
      </c>
      <c r="C71" s="155">
        <f>IF(D65&lt;=C69*C70,D65,C69*C70)</f>
        <v>1461.5085714285717</v>
      </c>
    </row>
    <row r="72" spans="1:8">
      <c r="B72" s="154" t="s">
        <v>107</v>
      </c>
      <c r="C72" s="155">
        <f>IF(D65&lt;=C69*4*C70,D65-C69*C70,C69*4*C70)</f>
        <v>-781.34857142857095</v>
      </c>
    </row>
    <row r="73" spans="1:8">
      <c r="B73" s="154" t="s">
        <v>108</v>
      </c>
      <c r="C73" s="155">
        <f>IF(D65&lt;=C69*8*C70,D65-C69*C70,C69*8*C70)</f>
        <v>-781.34857142857095</v>
      </c>
    </row>
    <row r="74" spans="1:8">
      <c r="B74" s="154" t="s">
        <v>109</v>
      </c>
      <c r="C74" s="155">
        <f>IF(D65&lt;=C69*4*C70,D65,C69*5*C70)</f>
        <v>1461.5085714285717</v>
      </c>
    </row>
    <row r="75" spans="1:8">
      <c r="B75" s="154" t="s">
        <v>110</v>
      </c>
      <c r="C75" s="155">
        <f>IF(D65&lt;=C69*8*C70,D65-C69*C70,C69*8*C70)</f>
        <v>-781.34857142857095</v>
      </c>
    </row>
    <row r="76" spans="1:8">
      <c r="B76" s="154" t="s">
        <v>111</v>
      </c>
      <c r="C76" s="155">
        <f>IF(D65&lt;=C69*8*C70,D65,C69*8*C70)</f>
        <v>1461.5085714285717</v>
      </c>
    </row>
    <row r="77" spans="1:8">
      <c r="B77" s="154"/>
      <c r="C77" s="156"/>
    </row>
    <row r="78" spans="1:8">
      <c r="B78" s="154" t="s">
        <v>112</v>
      </c>
      <c r="C78" s="156">
        <f>ROUND(Paramètre_T_coef_fillon___50_ETP*((1.6*J7*52/12*Smic_horaire/D65)-1),3)</f>
        <v>6.8000000000000005E-2</v>
      </c>
    </row>
    <row r="79" spans="1:8">
      <c r="B79" s="154" t="s">
        <v>113</v>
      </c>
      <c r="C79" s="157">
        <f>ROUND(Paramètre_T_coeff_fillon_50_et*((1.6*J7*52/12*Smic_horaire/D65)-1),3)</f>
        <v>6.9000000000000006E-2</v>
      </c>
    </row>
  </sheetData>
  <sheetProtection sheet="1" objects="1" scenarios="1"/>
  <mergeCells count="28">
    <mergeCell ref="C21:J21"/>
    <mergeCell ref="J22:M22"/>
    <mergeCell ref="A1:A14"/>
    <mergeCell ref="B1:N1"/>
    <mergeCell ref="B4:M4"/>
    <mergeCell ref="B5:M5"/>
    <mergeCell ref="C7:E7"/>
    <mergeCell ref="J7:K7"/>
    <mergeCell ref="D8:E8"/>
    <mergeCell ref="H8:I8"/>
    <mergeCell ref="G9:I9"/>
    <mergeCell ref="L9:M9"/>
    <mergeCell ref="H10:I10"/>
    <mergeCell ref="L10:M10"/>
    <mergeCell ref="D25:E25"/>
    <mergeCell ref="F25:G25"/>
    <mergeCell ref="J58:L58"/>
    <mergeCell ref="J46:M46"/>
    <mergeCell ref="J47:L47"/>
    <mergeCell ref="J49:L49"/>
    <mergeCell ref="J50:L50"/>
    <mergeCell ref="J51:L51"/>
    <mergeCell ref="J52:L52"/>
    <mergeCell ref="J55:L55"/>
    <mergeCell ref="J56:L56"/>
    <mergeCell ref="J57:L57"/>
    <mergeCell ref="J53:L54"/>
    <mergeCell ref="M53:M54"/>
  </mergeCells>
  <dataValidations count="3">
    <dataValidation type="list" allowBlank="1" showInputMessage="1" showErrorMessage="1" sqref="D8:E8" xr:uid="{B5E85BA0-71A5-4B8C-A1B9-C4D1D385F6FB}">
      <formula1>"A,B,C,D,E,F"</formula1>
    </dataValidation>
    <dataValidation type="list" allowBlank="1" showInputMessage="1" showErrorMessage="1" sqref="C6" xr:uid="{EA27954E-69E6-46E5-B9FD-94089855847A}">
      <formula1>"0,1,2,3,4,5,6,7,8,9,10,11,12,13,14,15,16,17,18,19,20,21,22,23,24,25,26,27,28,29,30"</formula1>
    </dataValidation>
    <dataValidation type="list" allowBlank="1" showInputMessage="1" showErrorMessage="1" sqref="M7 C3" xr:uid="{B3E1BACE-0899-4273-8315-7C82C78B06EF}">
      <formula1>"OUI,NON"</formula1>
    </dataValidation>
  </dataValidations>
  <pageMargins left="0.70866141732283472" right="0.70866141732283472" top="0.74803149606299213" bottom="0.74803149606299213" header="0.31496062992125984" footer="0.31496062992125984"/>
  <pageSetup paperSize="9" scale="75" orientation="landscape" r:id="rId1"/>
  <colBreaks count="1" manualBreakCount="1">
    <brk id="14"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E8B4A-C8C3-4A6E-927F-BDEAD2875EB1}">
  <dimension ref="A1:P80"/>
  <sheetViews>
    <sheetView zoomScale="70" zoomScaleNormal="70" workbookViewId="0">
      <selection activeCell="O7" sqref="O7"/>
    </sheetView>
  </sheetViews>
  <sheetFormatPr baseColWidth="10" defaultColWidth="9.33203125" defaultRowHeight="12.75"/>
  <cols>
    <col min="1" max="1" width="10.6640625" style="16" customWidth="1"/>
    <col min="2" max="2" width="51.1640625" style="16" customWidth="1"/>
    <col min="3" max="3" width="13.6640625" style="50" bestFit="1" customWidth="1"/>
    <col min="4" max="4" width="18.1640625" style="16" customWidth="1"/>
    <col min="5" max="5" width="13.5" style="16" customWidth="1"/>
    <col min="6" max="6" width="10.83203125" style="16" customWidth="1"/>
    <col min="7" max="7" width="10.6640625" style="16" bestFit="1" customWidth="1"/>
    <col min="8" max="8" width="14" style="16" customWidth="1"/>
    <col min="9" max="9" width="7" style="16" customWidth="1"/>
    <col min="10" max="10" width="10.33203125" style="16" customWidth="1"/>
    <col min="11" max="11" width="9" style="16" customWidth="1"/>
    <col min="12" max="12" width="20" style="16" customWidth="1"/>
    <col min="13" max="13" width="11.83203125" style="16" bestFit="1" customWidth="1"/>
    <col min="14" max="14" width="8.33203125" style="16" customWidth="1"/>
    <col min="15" max="15" width="9.33203125" style="16"/>
    <col min="16" max="16" width="12.5" style="16" customWidth="1"/>
    <col min="17" max="16384" width="9.33203125" style="16"/>
  </cols>
  <sheetData>
    <row r="1" spans="1:16" ht="53.25" customHeight="1" thickBot="1">
      <c r="A1" s="193"/>
      <c r="B1" s="195" t="s">
        <v>139</v>
      </c>
      <c r="C1" s="195"/>
      <c r="D1" s="195"/>
      <c r="E1" s="195"/>
      <c r="F1" s="195"/>
      <c r="G1" s="195"/>
      <c r="H1" s="195"/>
      <c r="I1" s="195"/>
      <c r="J1" s="195"/>
      <c r="K1" s="195"/>
      <c r="L1" s="195"/>
      <c r="M1" s="195"/>
      <c r="N1" s="196"/>
      <c r="O1" s="14"/>
      <c r="P1" s="15"/>
    </row>
    <row r="2" spans="1:16" ht="35.450000000000003" customHeight="1" thickBot="1">
      <c r="A2" s="193"/>
      <c r="B2" s="75" t="s">
        <v>18</v>
      </c>
      <c r="C2" s="73">
        <v>1</v>
      </c>
      <c r="D2" s="13"/>
      <c r="E2" s="13"/>
      <c r="F2" s="13"/>
      <c r="G2" s="13"/>
      <c r="H2" s="13"/>
      <c r="I2" s="13"/>
      <c r="J2" s="13"/>
      <c r="K2" s="13"/>
      <c r="L2" s="13"/>
      <c r="M2" s="13"/>
      <c r="N2" s="13"/>
      <c r="O2" s="17"/>
      <c r="P2" s="15"/>
    </row>
    <row r="3" spans="1:16" ht="35.450000000000003" customHeight="1" thickBot="1">
      <c r="A3" s="193"/>
      <c r="B3" s="76" t="s">
        <v>114</v>
      </c>
      <c r="C3" s="74" t="s">
        <v>20</v>
      </c>
      <c r="D3" s="13"/>
      <c r="E3" s="13"/>
      <c r="F3" s="13"/>
      <c r="G3" s="13"/>
      <c r="H3" s="13"/>
      <c r="I3" s="13"/>
      <c r="J3" s="13"/>
      <c r="K3" s="13"/>
      <c r="L3" s="13"/>
      <c r="M3" s="13"/>
      <c r="N3" s="13"/>
      <c r="O3" s="17"/>
      <c r="P3" s="15"/>
    </row>
    <row r="4" spans="1:16" ht="30.6" customHeight="1" thickTop="1" thickBot="1">
      <c r="A4" s="193"/>
      <c r="B4" s="200" t="s">
        <v>21</v>
      </c>
      <c r="C4" s="201"/>
      <c r="D4" s="219"/>
      <c r="E4" s="219"/>
      <c r="F4" s="219"/>
      <c r="G4" s="219"/>
      <c r="H4" s="219"/>
      <c r="I4" s="219"/>
      <c r="J4" s="219"/>
      <c r="K4" s="219"/>
      <c r="L4" s="219"/>
      <c r="M4" s="220"/>
      <c r="N4" s="13"/>
      <c r="O4" s="17"/>
    </row>
    <row r="5" spans="1:16" ht="35.65" customHeight="1" thickTop="1" thickBot="1">
      <c r="A5" s="193"/>
      <c r="B5" s="221"/>
      <c r="C5" s="219"/>
      <c r="D5" s="219"/>
      <c r="E5" s="219"/>
      <c r="F5" s="219"/>
      <c r="G5" s="219"/>
      <c r="H5" s="219"/>
      <c r="I5" s="219"/>
      <c r="J5" s="219"/>
      <c r="K5" s="219"/>
      <c r="L5" s="219"/>
      <c r="M5" s="220"/>
      <c r="N5" s="18"/>
      <c r="O5" s="19"/>
    </row>
    <row r="6" spans="1:16" ht="35.65" customHeight="1" thickBot="1">
      <c r="A6" s="193"/>
      <c r="B6" s="57" t="s">
        <v>22</v>
      </c>
      <c r="C6" s="64">
        <v>0</v>
      </c>
      <c r="D6" s="58"/>
      <c r="E6" s="58"/>
      <c r="F6" s="58"/>
      <c r="G6" s="58"/>
      <c r="H6" s="58"/>
      <c r="I6" s="58"/>
      <c r="J6" s="58"/>
      <c r="K6" s="58"/>
      <c r="L6" s="58"/>
      <c r="M6" s="59"/>
      <c r="N6" s="18"/>
      <c r="O6" s="19"/>
    </row>
    <row r="7" spans="1:16" ht="37.9" customHeight="1" thickBot="1">
      <c r="A7" s="193"/>
      <c r="B7" s="20" t="s">
        <v>23</v>
      </c>
      <c r="C7" s="201"/>
      <c r="D7" s="201"/>
      <c r="E7" s="201"/>
      <c r="F7" s="21" t="s">
        <v>24</v>
      </c>
      <c r="G7" s="21"/>
      <c r="H7" s="21"/>
      <c r="I7" s="21"/>
      <c r="J7" s="203">
        <v>2</v>
      </c>
      <c r="K7" s="204"/>
      <c r="L7" s="67" t="s">
        <v>25</v>
      </c>
      <c r="M7" s="68" t="s">
        <v>20</v>
      </c>
      <c r="N7" s="19"/>
      <c r="O7" s="19"/>
      <c r="P7" s="23"/>
    </row>
    <row r="8" spans="1:16" ht="25.15" customHeight="1" thickBot="1">
      <c r="A8" s="193"/>
      <c r="B8" s="20" t="s">
        <v>26</v>
      </c>
      <c r="C8" s="24"/>
      <c r="D8" s="205" t="s">
        <v>115</v>
      </c>
      <c r="E8" s="206"/>
      <c r="F8" s="21" t="s">
        <v>28</v>
      </c>
      <c r="G8" s="21"/>
      <c r="H8" s="207">
        <v>375</v>
      </c>
      <c r="I8" s="208"/>
      <c r="J8" s="21"/>
      <c r="M8" s="22"/>
      <c r="N8" s="19"/>
      <c r="O8" s="19"/>
    </row>
    <row r="9" spans="1:16" ht="18.75" customHeight="1">
      <c r="A9" s="193"/>
      <c r="B9" s="84" t="s">
        <v>29</v>
      </c>
      <c r="C9" s="162">
        <f>Valeur_de_point_V1</f>
        <v>7.15</v>
      </c>
      <c r="G9" s="209" t="s">
        <v>30</v>
      </c>
      <c r="H9" s="210"/>
      <c r="I9" s="211"/>
      <c r="J9" s="19"/>
      <c r="K9" s="85"/>
      <c r="L9" s="212" t="s">
        <v>31</v>
      </c>
      <c r="M9" s="213"/>
      <c r="N9" s="19"/>
      <c r="O9" s="19"/>
    </row>
    <row r="10" spans="1:16" ht="18.75" customHeight="1" thickBot="1">
      <c r="A10" s="193"/>
      <c r="B10" s="86" t="s">
        <v>32</v>
      </c>
      <c r="C10" s="163">
        <f>Valeur_de_point_V2</f>
        <v>6.73</v>
      </c>
      <c r="G10" s="87"/>
      <c r="H10" s="214"/>
      <c r="I10" s="215"/>
      <c r="J10" s="19"/>
      <c r="K10" s="88"/>
      <c r="L10" s="214"/>
      <c r="M10" s="216"/>
      <c r="N10" s="19"/>
      <c r="O10" s="19"/>
    </row>
    <row r="11" spans="1:16" ht="29.25" customHeight="1" thickBot="1">
      <c r="A11" s="193"/>
      <c r="B11" s="89" t="s">
        <v>33</v>
      </c>
      <c r="C11" s="116">
        <f>Paramètres!F5</f>
        <v>257</v>
      </c>
      <c r="D11" s="90" t="s">
        <v>34</v>
      </c>
      <c r="E11" s="91" t="s">
        <v>35</v>
      </c>
      <c r="F11" s="118">
        <f>C9</f>
        <v>7.15</v>
      </c>
      <c r="G11" s="119" t="s">
        <v>35</v>
      </c>
      <c r="H11" s="176">
        <f>SUM($J$7)</f>
        <v>2</v>
      </c>
      <c r="I11" s="121" t="s">
        <v>36</v>
      </c>
      <c r="J11" s="122">
        <v>35</v>
      </c>
      <c r="K11" s="123"/>
      <c r="L11" s="124">
        <f t="shared" ref="L11:L17" si="0">C11*F11*H11/J11</f>
        <v>105.00285714285715</v>
      </c>
      <c r="M11" s="125" t="s">
        <v>37</v>
      </c>
      <c r="O11" s="19"/>
    </row>
    <row r="12" spans="1:16" ht="32.1" customHeight="1" thickBot="1">
      <c r="A12" s="193"/>
      <c r="B12" s="96" t="s">
        <v>38</v>
      </c>
      <c r="C12" s="117">
        <f>H8-C11</f>
        <v>118</v>
      </c>
      <c r="D12" s="97" t="s">
        <v>39</v>
      </c>
      <c r="E12" s="98" t="s">
        <v>35</v>
      </c>
      <c r="F12" s="126">
        <f>C10</f>
        <v>6.73</v>
      </c>
      <c r="G12" s="119" t="s">
        <v>35</v>
      </c>
      <c r="H12" s="176">
        <f t="shared" ref="H12:H17" si="1">SUM($J$7)</f>
        <v>2</v>
      </c>
      <c r="I12" s="121" t="s">
        <v>36</v>
      </c>
      <c r="J12" s="122">
        <v>35</v>
      </c>
      <c r="K12" s="127" t="s">
        <v>38</v>
      </c>
      <c r="L12" s="124">
        <f t="shared" si="0"/>
        <v>45.379428571428576</v>
      </c>
      <c r="M12" s="128" t="s">
        <v>40</v>
      </c>
    </row>
    <row r="13" spans="1:16" ht="32.1" customHeight="1" thickBot="1">
      <c r="A13" s="193"/>
      <c r="B13" s="100" t="s">
        <v>41</v>
      </c>
      <c r="C13" s="1">
        <v>0</v>
      </c>
      <c r="D13" s="101" t="s">
        <v>42</v>
      </c>
      <c r="E13" s="98" t="s">
        <v>35</v>
      </c>
      <c r="F13" s="126">
        <f>C10</f>
        <v>6.73</v>
      </c>
      <c r="G13" s="119" t="s">
        <v>35</v>
      </c>
      <c r="H13" s="176">
        <f>SUM($J$7)</f>
        <v>2</v>
      </c>
      <c r="I13" s="121" t="s">
        <v>36</v>
      </c>
      <c r="J13" s="122">
        <v>35</v>
      </c>
      <c r="K13" s="129" t="s">
        <v>38</v>
      </c>
      <c r="L13" s="124">
        <f t="shared" si="0"/>
        <v>0</v>
      </c>
      <c r="M13" s="128" t="s">
        <v>40</v>
      </c>
    </row>
    <row r="14" spans="1:16" ht="32.1" customHeight="1" thickBot="1">
      <c r="A14" s="194"/>
      <c r="B14" s="100" t="s">
        <v>43</v>
      </c>
      <c r="C14" s="2">
        <f>+(C6)*2</f>
        <v>0</v>
      </c>
      <c r="D14" s="101" t="s">
        <v>42</v>
      </c>
      <c r="E14" s="98" t="s">
        <v>35</v>
      </c>
      <c r="F14" s="126">
        <f>C9</f>
        <v>7.15</v>
      </c>
      <c r="G14" s="119" t="s">
        <v>35</v>
      </c>
      <c r="H14" s="176">
        <f t="shared" si="1"/>
        <v>2</v>
      </c>
      <c r="I14" s="121" t="s">
        <v>36</v>
      </c>
      <c r="J14" s="122">
        <v>35</v>
      </c>
      <c r="K14" s="129" t="s">
        <v>38</v>
      </c>
      <c r="L14" s="124">
        <f t="shared" si="0"/>
        <v>0</v>
      </c>
      <c r="M14" s="128" t="s">
        <v>40</v>
      </c>
    </row>
    <row r="15" spans="1:16" ht="32.1" customHeight="1" thickBot="1">
      <c r="A15" s="25"/>
      <c r="B15" s="100" t="s">
        <v>135</v>
      </c>
      <c r="C15" s="1"/>
      <c r="D15" s="102" t="s">
        <v>44</v>
      </c>
      <c r="E15" s="98" t="s">
        <v>35</v>
      </c>
      <c r="F15" s="126">
        <f>C9</f>
        <v>7.15</v>
      </c>
      <c r="G15" s="119" t="s">
        <v>35</v>
      </c>
      <c r="H15" s="176">
        <f t="shared" si="1"/>
        <v>2</v>
      </c>
      <c r="I15" s="121" t="s">
        <v>36</v>
      </c>
      <c r="J15" s="122">
        <v>35</v>
      </c>
      <c r="K15" s="129" t="s">
        <v>38</v>
      </c>
      <c r="L15" s="124">
        <f t="shared" si="0"/>
        <v>0</v>
      </c>
      <c r="M15" s="128" t="s">
        <v>40</v>
      </c>
    </row>
    <row r="16" spans="1:16" ht="32.1" customHeight="1" thickBot="1">
      <c r="A16" s="25"/>
      <c r="B16" s="100" t="s">
        <v>45</v>
      </c>
      <c r="C16" s="1">
        <v>0</v>
      </c>
      <c r="D16" s="101" t="s">
        <v>42</v>
      </c>
      <c r="E16" s="98" t="s">
        <v>35</v>
      </c>
      <c r="F16" s="126">
        <f>C10</f>
        <v>6.73</v>
      </c>
      <c r="G16" s="119" t="s">
        <v>35</v>
      </c>
      <c r="H16" s="176">
        <f t="shared" si="1"/>
        <v>2</v>
      </c>
      <c r="I16" s="121" t="s">
        <v>36</v>
      </c>
      <c r="J16" s="122">
        <v>35</v>
      </c>
      <c r="K16" s="129" t="s">
        <v>38</v>
      </c>
      <c r="L16" s="124">
        <f t="shared" si="0"/>
        <v>0</v>
      </c>
      <c r="M16" s="128" t="s">
        <v>40</v>
      </c>
    </row>
    <row r="17" spans="1:14" ht="32.1" customHeight="1" thickBot="1">
      <c r="A17" s="25"/>
      <c r="B17" s="100" t="s">
        <v>46</v>
      </c>
      <c r="C17" s="1">
        <v>0</v>
      </c>
      <c r="D17" s="101" t="s">
        <v>42</v>
      </c>
      <c r="E17" s="98" t="s">
        <v>35</v>
      </c>
      <c r="F17" s="126">
        <f>C10</f>
        <v>6.73</v>
      </c>
      <c r="G17" s="130" t="s">
        <v>35</v>
      </c>
      <c r="H17" s="176">
        <f t="shared" si="1"/>
        <v>2</v>
      </c>
      <c r="I17" s="121" t="s">
        <v>36</v>
      </c>
      <c r="J17" s="122">
        <v>35</v>
      </c>
      <c r="K17" s="129" t="s">
        <v>38</v>
      </c>
      <c r="L17" s="124">
        <f t="shared" si="0"/>
        <v>0</v>
      </c>
      <c r="M17" s="128" t="s">
        <v>40</v>
      </c>
    </row>
    <row r="18" spans="1:14" ht="32.1" customHeight="1" thickBot="1">
      <c r="A18" s="26"/>
      <c r="B18" s="100" t="s">
        <v>136</v>
      </c>
      <c r="C18" s="117">
        <f>IF(M7="OUI",8,0)</f>
        <v>0</v>
      </c>
      <c r="D18" s="101" t="s">
        <v>47</v>
      </c>
      <c r="E18" s="98" t="s">
        <v>35</v>
      </c>
      <c r="F18" s="126">
        <f>C9</f>
        <v>7.15</v>
      </c>
      <c r="G18" s="132"/>
      <c r="H18" s="120"/>
      <c r="I18" s="133"/>
      <c r="J18" s="122"/>
      <c r="K18" s="134" t="s">
        <v>38</v>
      </c>
      <c r="L18" s="135">
        <f>IF(J7&lt;24,C18*F18,"")</f>
        <v>0</v>
      </c>
      <c r="M18" s="136"/>
    </row>
    <row r="19" spans="1:14" ht="32.1" customHeight="1" thickBot="1">
      <c r="A19" s="26"/>
      <c r="B19" s="100" t="s">
        <v>48</v>
      </c>
      <c r="C19" s="1"/>
      <c r="D19" s="101"/>
      <c r="E19" s="98"/>
      <c r="F19" s="3"/>
      <c r="G19" s="104"/>
      <c r="H19" s="92"/>
      <c r="I19" s="105"/>
      <c r="J19" s="93"/>
      <c r="K19" s="106"/>
      <c r="L19" s="107">
        <f>C19</f>
        <v>0</v>
      </c>
      <c r="M19" s="108"/>
    </row>
    <row r="20" spans="1:14" ht="31.5" customHeight="1" thickBot="1">
      <c r="A20" s="26"/>
      <c r="B20" s="109" t="s">
        <v>49</v>
      </c>
      <c r="C20" s="1"/>
      <c r="D20" s="101" t="s">
        <v>42</v>
      </c>
      <c r="E20" s="98" t="s">
        <v>35</v>
      </c>
      <c r="F20" s="3">
        <f>C10</f>
        <v>6.73</v>
      </c>
      <c r="G20" s="110" t="s">
        <v>35</v>
      </c>
      <c r="H20" s="177">
        <f t="shared" ref="H20" si="2">SUM($J$7)</f>
        <v>2</v>
      </c>
      <c r="I20" s="103" t="s">
        <v>36</v>
      </c>
      <c r="J20" s="93">
        <v>35</v>
      </c>
      <c r="K20" s="106" t="s">
        <v>38</v>
      </c>
      <c r="L20" s="94">
        <f>C20*F20*H20/J20</f>
        <v>0</v>
      </c>
      <c r="M20" s="108" t="s">
        <v>40</v>
      </c>
    </row>
    <row r="21" spans="1:14" ht="30" customHeight="1" thickBot="1">
      <c r="A21" s="26"/>
      <c r="B21" s="111" t="s">
        <v>50</v>
      </c>
      <c r="C21" s="189"/>
      <c r="D21" s="189"/>
      <c r="E21" s="189"/>
      <c r="F21" s="189"/>
      <c r="G21" s="190"/>
      <c r="H21" s="190"/>
      <c r="I21" s="190"/>
      <c r="J21" s="191"/>
      <c r="K21" s="112" t="s">
        <v>51</v>
      </c>
      <c r="L21" s="137">
        <f>SUM(L11:L20)</f>
        <v>150.38228571428573</v>
      </c>
      <c r="M21" s="113" t="s">
        <v>40</v>
      </c>
    </row>
    <row r="22" spans="1:14" ht="40.15" customHeight="1" thickTop="1">
      <c r="A22" s="27"/>
      <c r="B22" s="28"/>
      <c r="C22" s="29"/>
      <c r="D22" s="29"/>
      <c r="E22" s="29"/>
      <c r="F22" s="29"/>
      <c r="G22" s="29"/>
      <c r="H22" s="29"/>
      <c r="I22" s="29"/>
      <c r="J22" s="192" t="s">
        <v>52</v>
      </c>
      <c r="K22" s="192"/>
      <c r="L22" s="192"/>
      <c r="M22" s="192"/>
      <c r="N22" s="30"/>
    </row>
    <row r="24" spans="1:14">
      <c r="A24" s="31"/>
      <c r="B24" s="31"/>
      <c r="C24" s="32"/>
      <c r="D24" s="31"/>
      <c r="E24" s="31"/>
      <c r="F24" s="31"/>
      <c r="G24" s="31"/>
      <c r="H24" s="31"/>
    </row>
    <row r="25" spans="1:14">
      <c r="A25" s="33"/>
      <c r="B25" s="34" t="s">
        <v>53</v>
      </c>
      <c r="C25" s="7" t="s">
        <v>54</v>
      </c>
      <c r="D25" s="182" t="s">
        <v>55</v>
      </c>
      <c r="E25" s="183"/>
      <c r="F25" s="182" t="s">
        <v>56</v>
      </c>
      <c r="G25" s="183"/>
      <c r="H25" s="31"/>
    </row>
    <row r="26" spans="1:14">
      <c r="A26" s="31"/>
      <c r="B26" s="33"/>
      <c r="C26" s="32"/>
      <c r="D26" s="33" t="s">
        <v>57</v>
      </c>
      <c r="E26" s="33" t="s">
        <v>58</v>
      </c>
      <c r="F26" s="33" t="s">
        <v>57</v>
      </c>
      <c r="G26" s="33" t="s">
        <v>58</v>
      </c>
      <c r="H26" s="31"/>
    </row>
    <row r="27" spans="1:14">
      <c r="A27" s="31"/>
      <c r="B27" s="35" t="s">
        <v>59</v>
      </c>
      <c r="C27" s="138">
        <f>$D$66</f>
        <v>150.38228571428573</v>
      </c>
      <c r="D27" s="139">
        <f>IF(C3="OUI",Paramètres!C20,0)</f>
        <v>0</v>
      </c>
      <c r="E27" s="140">
        <f>D27*C27/100</f>
        <v>0</v>
      </c>
      <c r="F27" s="139">
        <f>IF($D$66&lt;(Smic_horaire*2.4721*J7*52/12),7,13)</f>
        <v>7</v>
      </c>
      <c r="G27" s="140">
        <f t="shared" ref="G27:G45" si="3">F27*C27/100</f>
        <v>10.526760000000001</v>
      </c>
      <c r="H27" s="31"/>
    </row>
    <row r="28" spans="1:14">
      <c r="A28" s="33"/>
      <c r="B28" s="35" t="s">
        <v>116</v>
      </c>
      <c r="C28" s="36">
        <f>IF($D$66&gt;C72,C72,D66)</f>
        <v>150.38228571428573</v>
      </c>
      <c r="D28" s="5">
        <v>0.01</v>
      </c>
      <c r="E28" s="6">
        <f>D28*C28/100</f>
        <v>1.5038228571428574E-2</v>
      </c>
      <c r="F28" s="5">
        <v>1.53</v>
      </c>
      <c r="G28" s="6">
        <f t="shared" si="3"/>
        <v>2.3008489714285716</v>
      </c>
      <c r="H28" s="31"/>
    </row>
    <row r="29" spans="1:14">
      <c r="A29" s="33"/>
      <c r="B29" s="35" t="s">
        <v>117</v>
      </c>
      <c r="C29" s="4">
        <f>IF(D66&gt;C72,D66-C72,0)</f>
        <v>0</v>
      </c>
      <c r="D29" s="5">
        <v>0.56999999999999995</v>
      </c>
      <c r="E29" s="6">
        <f>C29*D29/100</f>
        <v>0</v>
      </c>
      <c r="F29" s="5">
        <v>0.56999999999999995</v>
      </c>
      <c r="G29" s="6">
        <f>C29*F29/100</f>
        <v>0</v>
      </c>
      <c r="H29" s="31"/>
    </row>
    <row r="30" spans="1:14">
      <c r="A30" s="33"/>
      <c r="B30" s="35" t="s">
        <v>61</v>
      </c>
      <c r="C30" s="51">
        <f>PMSS</f>
        <v>3925</v>
      </c>
      <c r="D30" s="52">
        <f>0.97/2</f>
        <v>0.48499999999999999</v>
      </c>
      <c r="E30" s="53">
        <f t="shared" ref="E30:E38" si="4">D30*C30/100</f>
        <v>19.036249999999999</v>
      </c>
      <c r="F30" s="52">
        <f>0.97/2</f>
        <v>0.48499999999999999</v>
      </c>
      <c r="G30" s="53">
        <f t="shared" si="3"/>
        <v>19.036249999999999</v>
      </c>
      <c r="H30" s="31"/>
    </row>
    <row r="31" spans="1:14">
      <c r="A31" s="33"/>
      <c r="B31" s="35" t="s">
        <v>62</v>
      </c>
      <c r="C31" s="36">
        <f>$D$66</f>
        <v>150.38228571428573</v>
      </c>
      <c r="D31" s="5">
        <v>0</v>
      </c>
      <c r="E31" s="6">
        <f t="shared" si="4"/>
        <v>0</v>
      </c>
      <c r="F31" s="52">
        <v>1.3</v>
      </c>
      <c r="G31" s="6">
        <f t="shared" si="3"/>
        <v>1.9549697142857143</v>
      </c>
      <c r="H31" s="31"/>
    </row>
    <row r="32" spans="1:14">
      <c r="A32" s="33"/>
      <c r="B32" s="35" t="s">
        <v>63</v>
      </c>
      <c r="C32" s="138">
        <f>C72</f>
        <v>150.38228571428573</v>
      </c>
      <c r="D32" s="139">
        <v>6.9</v>
      </c>
      <c r="E32" s="140">
        <f t="shared" si="4"/>
        <v>10.376377714285717</v>
      </c>
      <c r="F32" s="139">
        <v>8.5500000000000007</v>
      </c>
      <c r="G32" s="140">
        <f t="shared" si="3"/>
        <v>12.857685428571431</v>
      </c>
      <c r="H32" s="31"/>
    </row>
    <row r="33" spans="1:13">
      <c r="A33" s="31"/>
      <c r="B33" s="35" t="s">
        <v>64</v>
      </c>
      <c r="C33" s="138">
        <f>$D$66</f>
        <v>150.38228571428573</v>
      </c>
      <c r="D33" s="139">
        <v>0.4</v>
      </c>
      <c r="E33" s="140">
        <f t="shared" si="4"/>
        <v>0.60152914285714298</v>
      </c>
      <c r="F33" s="139">
        <v>2.02</v>
      </c>
      <c r="G33" s="140">
        <f t="shared" si="3"/>
        <v>3.0377221714285718</v>
      </c>
      <c r="H33" s="31"/>
    </row>
    <row r="34" spans="1:13">
      <c r="A34" s="37"/>
      <c r="B34" s="35" t="s">
        <v>65</v>
      </c>
      <c r="C34" s="36">
        <f>C72</f>
        <v>150.38228571428573</v>
      </c>
      <c r="D34" s="52">
        <v>5.08</v>
      </c>
      <c r="E34" s="6">
        <f t="shared" si="4"/>
        <v>7.6394201142857154</v>
      </c>
      <c r="F34" s="52">
        <v>5.08</v>
      </c>
      <c r="G34" s="6">
        <f t="shared" si="3"/>
        <v>7.6394201142857154</v>
      </c>
      <c r="H34" s="31"/>
    </row>
    <row r="35" spans="1:13">
      <c r="A35" s="31"/>
      <c r="B35" s="35" t="s">
        <v>66</v>
      </c>
      <c r="C35" s="138">
        <f>MAX(C74,0)</f>
        <v>0</v>
      </c>
      <c r="D35" s="139">
        <v>8.64</v>
      </c>
      <c r="E35" s="140">
        <f t="shared" si="4"/>
        <v>0</v>
      </c>
      <c r="F35" s="139">
        <v>12.95</v>
      </c>
      <c r="G35" s="140">
        <f t="shared" si="3"/>
        <v>0</v>
      </c>
      <c r="H35" s="31"/>
    </row>
    <row r="36" spans="1:13">
      <c r="A36" s="33"/>
      <c r="B36" s="35" t="s">
        <v>67</v>
      </c>
      <c r="C36" s="138">
        <f>C72</f>
        <v>150.38228571428573</v>
      </c>
      <c r="D36" s="139">
        <v>0.86</v>
      </c>
      <c r="E36" s="140">
        <f t="shared" si="4"/>
        <v>1.2932876571428573</v>
      </c>
      <c r="F36" s="139">
        <v>1.29</v>
      </c>
      <c r="G36" s="140">
        <f t="shared" si="3"/>
        <v>1.939931485714286</v>
      </c>
      <c r="H36" s="31"/>
    </row>
    <row r="37" spans="1:13">
      <c r="A37" s="31"/>
      <c r="B37" s="35" t="s">
        <v>68</v>
      </c>
      <c r="C37" s="138">
        <f>MAX(C74,0)</f>
        <v>0</v>
      </c>
      <c r="D37" s="139">
        <v>1.08</v>
      </c>
      <c r="E37" s="140">
        <f t="shared" si="4"/>
        <v>0</v>
      </c>
      <c r="F37" s="139">
        <v>1.62</v>
      </c>
      <c r="G37" s="140">
        <f t="shared" si="3"/>
        <v>0</v>
      </c>
      <c r="H37" s="31"/>
    </row>
    <row r="38" spans="1:13">
      <c r="A38" s="31"/>
      <c r="B38" s="35" t="s">
        <v>69</v>
      </c>
      <c r="C38" s="138">
        <f>IF(D66&lt;=C72,0,D66)</f>
        <v>0</v>
      </c>
      <c r="D38" s="139">
        <v>0.14000000000000001</v>
      </c>
      <c r="E38" s="140">
        <f t="shared" si="4"/>
        <v>0</v>
      </c>
      <c r="F38" s="139">
        <v>0.21</v>
      </c>
      <c r="G38" s="140">
        <f t="shared" si="3"/>
        <v>0</v>
      </c>
      <c r="H38" s="31"/>
    </row>
    <row r="39" spans="1:13">
      <c r="A39" s="33"/>
      <c r="B39" s="35" t="s">
        <v>70</v>
      </c>
      <c r="C39" s="180">
        <f>D66</f>
        <v>150.38228571428573</v>
      </c>
      <c r="D39" s="139"/>
      <c r="E39" s="140"/>
      <c r="F39" s="139">
        <f>IF($D$66&lt;(3.4609*Smic_horaire*J7*52/12),3.45,5.25)</f>
        <v>3.45</v>
      </c>
      <c r="G39" s="140">
        <f t="shared" si="3"/>
        <v>5.1881888571428583</v>
      </c>
      <c r="H39" s="31"/>
    </row>
    <row r="40" spans="1:13">
      <c r="A40" s="33"/>
      <c r="B40" s="35" t="s">
        <v>71</v>
      </c>
      <c r="C40" s="138">
        <f>C75</f>
        <v>150.38228571428573</v>
      </c>
      <c r="D40" s="139">
        <v>0</v>
      </c>
      <c r="E40" s="140"/>
      <c r="F40" s="139">
        <v>4.05</v>
      </c>
      <c r="G40" s="140">
        <f t="shared" si="3"/>
        <v>6.0904825714285717</v>
      </c>
      <c r="H40" s="31"/>
    </row>
    <row r="41" spans="1:13">
      <c r="A41" s="33"/>
      <c r="B41" s="35" t="s">
        <v>72</v>
      </c>
      <c r="C41" s="138">
        <f>C75</f>
        <v>150.38228571428573</v>
      </c>
      <c r="D41" s="139"/>
      <c r="E41" s="140"/>
      <c r="F41" s="139">
        <v>0.25</v>
      </c>
      <c r="G41" s="140">
        <f t="shared" si="3"/>
        <v>0.37595571428571434</v>
      </c>
      <c r="H41" s="31"/>
    </row>
    <row r="42" spans="1:13">
      <c r="A42" s="33"/>
      <c r="B42" s="35" t="s">
        <v>118</v>
      </c>
      <c r="C42" s="36">
        <f>C75</f>
        <v>150.38228571428573</v>
      </c>
      <c r="D42" s="5">
        <v>2.4E-2</v>
      </c>
      <c r="E42" s="6">
        <f>C42*D42/100</f>
        <v>3.6091748571428578E-2</v>
      </c>
      <c r="F42" s="5">
        <v>3.5999999999999997E-2</v>
      </c>
      <c r="G42" s="6">
        <f t="shared" si="3"/>
        <v>5.413762285714286E-2</v>
      </c>
      <c r="H42" s="31"/>
    </row>
    <row r="43" spans="1:13" ht="26.45" customHeight="1">
      <c r="A43" s="33"/>
      <c r="B43" s="60" t="s">
        <v>73</v>
      </c>
      <c r="C43" s="36">
        <f>IF(C2&lt;11,0,D66)</f>
        <v>0</v>
      </c>
      <c r="D43" s="5"/>
      <c r="E43" s="33"/>
      <c r="F43" s="52">
        <v>1.3</v>
      </c>
      <c r="G43" s="6">
        <f t="shared" si="3"/>
        <v>0</v>
      </c>
      <c r="H43" s="31"/>
    </row>
    <row r="44" spans="1:13">
      <c r="A44" s="33"/>
      <c r="B44" s="35" t="s">
        <v>74</v>
      </c>
      <c r="C44" s="36">
        <f>D66</f>
        <v>150.38228571428573</v>
      </c>
      <c r="D44" s="5"/>
      <c r="E44" s="33"/>
      <c r="F44" s="5">
        <v>0.3</v>
      </c>
      <c r="G44" s="6">
        <f t="shared" si="3"/>
        <v>0.45114685714285718</v>
      </c>
      <c r="H44" s="31"/>
    </row>
    <row r="45" spans="1:13">
      <c r="A45" s="33"/>
      <c r="B45" s="35" t="s">
        <v>75</v>
      </c>
      <c r="C45" s="36">
        <f>IF(C2&lt;50,C72,D66)</f>
        <v>150.38228571428573</v>
      </c>
      <c r="D45" s="5"/>
      <c r="E45" s="33"/>
      <c r="F45" s="5">
        <f>IF(C2&lt;50,0.1,0.5)</f>
        <v>0.1</v>
      </c>
      <c r="G45" s="6">
        <f t="shared" si="3"/>
        <v>0.15038228571428575</v>
      </c>
      <c r="H45" s="38"/>
    </row>
    <row r="46" spans="1:13">
      <c r="A46" s="33"/>
      <c r="B46" s="35" t="s">
        <v>76</v>
      </c>
      <c r="C46" s="36">
        <f>$D$66</f>
        <v>150.38228571428573</v>
      </c>
      <c r="D46" s="5"/>
      <c r="E46" s="6"/>
      <c r="F46" s="5">
        <v>1.6E-2</v>
      </c>
      <c r="G46" s="6">
        <f>F46*C46/100</f>
        <v>2.4061165714285716E-2</v>
      </c>
      <c r="H46" s="31"/>
    </row>
    <row r="47" spans="1:13">
      <c r="A47" s="33"/>
      <c r="B47" s="35" t="s">
        <v>77</v>
      </c>
      <c r="C47" s="138">
        <f>IF(C2&lt;11,0,(1.51%*C28+0.55%*C29+G30))</f>
        <v>0</v>
      </c>
      <c r="D47" s="5"/>
      <c r="E47" s="6"/>
      <c r="F47" s="5">
        <v>8</v>
      </c>
      <c r="G47" s="6">
        <f>F47*C47/100</f>
        <v>0</v>
      </c>
      <c r="H47" s="31"/>
    </row>
    <row r="48" spans="1:13" ht="20.25">
      <c r="A48" s="39"/>
      <c r="B48" s="35" t="s">
        <v>78</v>
      </c>
      <c r="C48" s="138">
        <f>$D$66</f>
        <v>150.38228571428573</v>
      </c>
      <c r="D48" s="139"/>
      <c r="E48" s="181"/>
      <c r="F48" s="139">
        <f>IF(C2&lt;11,0.55,1)</f>
        <v>0.55000000000000004</v>
      </c>
      <c r="G48" s="140">
        <f t="shared" ref="G48:G57" si="5">F48*C48/100</f>
        <v>0.82710257142857158</v>
      </c>
      <c r="H48" s="31"/>
      <c r="J48" s="217" t="s">
        <v>79</v>
      </c>
      <c r="K48" s="217"/>
      <c r="L48" s="217"/>
      <c r="M48" s="217"/>
    </row>
    <row r="49" spans="1:13">
      <c r="A49" s="39"/>
      <c r="B49" s="35" t="s">
        <v>80</v>
      </c>
      <c r="C49" s="138">
        <f>$D$66</f>
        <v>150.38228571428573</v>
      </c>
      <c r="D49" s="139"/>
      <c r="E49" s="181"/>
      <c r="F49" s="139">
        <f>IF(C2&lt;11,1.55,1.1)</f>
        <v>1.55</v>
      </c>
      <c r="G49" s="140">
        <f t="shared" si="5"/>
        <v>2.3309254285714287</v>
      </c>
      <c r="H49" s="31"/>
      <c r="J49" s="218"/>
      <c r="K49" s="218"/>
      <c r="L49" s="218"/>
    </row>
    <row r="50" spans="1:13">
      <c r="A50" s="39"/>
      <c r="B50" s="35"/>
      <c r="C50" s="36"/>
      <c r="D50" s="5"/>
      <c r="E50" s="33"/>
      <c r="F50" s="5"/>
      <c r="G50" s="6"/>
      <c r="H50" s="31"/>
    </row>
    <row r="51" spans="1:13" ht="13.15" customHeight="1">
      <c r="A51" s="39"/>
      <c r="B51" s="35" t="s">
        <v>81</v>
      </c>
      <c r="C51" s="36">
        <f>$D$66</f>
        <v>150.38228571428573</v>
      </c>
      <c r="D51" s="5"/>
      <c r="E51" s="33"/>
      <c r="F51" s="5">
        <v>0.1</v>
      </c>
      <c r="G51" s="6">
        <f t="shared" si="5"/>
        <v>0.15038228571428575</v>
      </c>
      <c r="H51" s="31"/>
      <c r="J51" s="186" t="s">
        <v>82</v>
      </c>
      <c r="K51" s="186"/>
      <c r="L51" s="186"/>
      <c r="M51" s="142">
        <f>(G55+G56+G57)</f>
        <v>7.2967955997142857</v>
      </c>
    </row>
    <row r="52" spans="1:13" ht="13.15" customHeight="1">
      <c r="A52" s="33"/>
      <c r="B52" s="35" t="s">
        <v>119</v>
      </c>
      <c r="C52" s="36">
        <f>D66</f>
        <v>150.38228571428573</v>
      </c>
      <c r="D52" s="5"/>
      <c r="E52" s="6"/>
      <c r="F52" s="5">
        <f>IF(C2&lt;50,0,0.45)</f>
        <v>0</v>
      </c>
      <c r="G52" s="6">
        <f t="shared" si="5"/>
        <v>0</v>
      </c>
      <c r="H52" s="38"/>
      <c r="J52" s="186"/>
      <c r="K52" s="186"/>
      <c r="L52" s="186"/>
      <c r="M52" s="142"/>
    </row>
    <row r="53" spans="1:13" ht="13.15" customHeight="1">
      <c r="A53" s="39"/>
      <c r="B53" s="35" t="s">
        <v>84</v>
      </c>
      <c r="C53" s="36">
        <f>98.25%*$D$66+(C28*1.51%)+(C29*0.55%)+$G$30</f>
        <v>169.05761822857144</v>
      </c>
      <c r="D53" s="5">
        <v>6.8</v>
      </c>
      <c r="E53" s="6">
        <f>D53*C53/100</f>
        <v>11.495918039542858</v>
      </c>
      <c r="F53" s="5"/>
      <c r="G53" s="6"/>
      <c r="H53" s="31"/>
      <c r="J53" s="186"/>
      <c r="K53" s="186"/>
      <c r="L53" s="186"/>
      <c r="M53" s="141"/>
    </row>
    <row r="54" spans="1:13" ht="13.15" customHeight="1">
      <c r="A54" s="39"/>
      <c r="B54" s="35" t="s">
        <v>85</v>
      </c>
      <c r="C54" s="36">
        <f>98.25%*$D$66+(C28*1.51%)+(C29*0.55%)+$G$30</f>
        <v>169.05761822857144</v>
      </c>
      <c r="D54" s="5">
        <v>2.9</v>
      </c>
      <c r="E54" s="6">
        <f>D54*C54/100</f>
        <v>4.9026709286285719</v>
      </c>
      <c r="F54" s="5"/>
      <c r="G54" s="6"/>
      <c r="H54" s="31"/>
      <c r="J54" s="186" t="s">
        <v>86</v>
      </c>
      <c r="K54" s="186"/>
      <c r="L54" s="186"/>
      <c r="M54" s="142">
        <f>D66</f>
        <v>150.38228571428573</v>
      </c>
    </row>
    <row r="55" spans="1:13" ht="13.15" customHeight="1">
      <c r="A55" s="33"/>
      <c r="B55" s="40" t="s">
        <v>87</v>
      </c>
      <c r="C55" s="36">
        <f>$D$66+(C28*1.51%)+(C29*0.55%)+G30</f>
        <v>171.68930822857143</v>
      </c>
      <c r="D55" s="5"/>
      <c r="E55" s="6"/>
      <c r="F55" s="5">
        <v>4.25</v>
      </c>
      <c r="G55" s="6">
        <f t="shared" si="5"/>
        <v>7.2967955997142857</v>
      </c>
      <c r="H55" s="31"/>
      <c r="J55" s="187" t="s">
        <v>88</v>
      </c>
      <c r="K55" s="187"/>
      <c r="L55" s="187"/>
      <c r="M55" s="188">
        <f>F66-M51</f>
        <v>67.266856674285705</v>
      </c>
    </row>
    <row r="56" spans="1:13" ht="13.15" customHeight="1">
      <c r="A56" s="33"/>
      <c r="B56" s="40" t="s">
        <v>89</v>
      </c>
      <c r="C56" s="36">
        <f>IF(C55&gt;=tranche_1_taxe_salaire,IF(C55&gt;=tranche_2_taxe_salaire,tranche_2_taxe_salaire-tranche_1_taxe_salaire,C55-tranche_1_taxe_salaire),0)</f>
        <v>0</v>
      </c>
      <c r="D56" s="5"/>
      <c r="E56" s="6"/>
      <c r="F56" s="5">
        <v>4.25</v>
      </c>
      <c r="G56" s="6">
        <f t="shared" si="5"/>
        <v>0</v>
      </c>
      <c r="H56" s="31"/>
      <c r="J56" s="187"/>
      <c r="K56" s="187"/>
      <c r="L56" s="187"/>
      <c r="M56" s="188"/>
    </row>
    <row r="57" spans="1:13" ht="13.15" customHeight="1">
      <c r="A57" s="33"/>
      <c r="B57" s="40" t="s">
        <v>90</v>
      </c>
      <c r="C57" s="36">
        <f>IF(C55&gt;tranche_2_taxe_salaire,C55-tranche_2_taxe_salaire,0)</f>
        <v>0</v>
      </c>
      <c r="D57" s="5"/>
      <c r="E57" s="6"/>
      <c r="F57" s="5">
        <v>9.35</v>
      </c>
      <c r="G57" s="6">
        <f t="shared" si="5"/>
        <v>0</v>
      </c>
      <c r="H57" s="31"/>
      <c r="J57" s="186" t="s">
        <v>91</v>
      </c>
      <c r="K57" s="186"/>
      <c r="L57" s="186"/>
      <c r="M57" s="142">
        <f>(E60+G61)</f>
        <v>80.785714285714292</v>
      </c>
    </row>
    <row r="58" spans="1:13" ht="13.15" customHeight="1">
      <c r="A58" s="33"/>
      <c r="B58" s="41" t="s">
        <v>92</v>
      </c>
      <c r="C58" s="159">
        <f>D66</f>
        <v>150.38228571428573</v>
      </c>
      <c r="D58" s="160"/>
      <c r="E58" s="161"/>
      <c r="F58" s="160">
        <f>IF(C2&lt;50,-C79,-C80)</f>
        <v>-5.0999999999999997E-2</v>
      </c>
      <c r="G58" s="161">
        <f>IF(F58&gt;0,0,C58*F58)</f>
        <v>-7.6694965714285717</v>
      </c>
      <c r="H58" s="38"/>
      <c r="J58" s="186"/>
      <c r="K58" s="186"/>
      <c r="L58" s="186"/>
      <c r="M58" s="142"/>
    </row>
    <row r="59" spans="1:13">
      <c r="A59" s="42"/>
      <c r="B59" s="43" t="s">
        <v>93</v>
      </c>
      <c r="C59" s="7"/>
      <c r="D59" s="12"/>
      <c r="E59" s="10">
        <f>SUM(E27:E58)</f>
        <v>55.396583573885714</v>
      </c>
      <c r="F59" s="9"/>
      <c r="G59" s="10">
        <f>SUM(G27:G58)</f>
        <v>74.563652273999992</v>
      </c>
      <c r="H59" s="44"/>
      <c r="J59" s="186"/>
      <c r="K59" s="186"/>
      <c r="L59" s="186"/>
      <c r="M59" s="142"/>
    </row>
    <row r="60" spans="1:13">
      <c r="A60" s="42"/>
      <c r="B60" s="12" t="s">
        <v>94</v>
      </c>
      <c r="C60" s="54">
        <v>75</v>
      </c>
      <c r="D60" s="8"/>
      <c r="E60" s="9">
        <f>IF(J7&lt;17.5,C60/2*J7/17.5,C60*50%)</f>
        <v>4.2857142857142856</v>
      </c>
      <c r="F60" s="9"/>
      <c r="G60" s="10"/>
      <c r="H60" s="31"/>
      <c r="J60" s="184" t="s">
        <v>95</v>
      </c>
      <c r="K60" s="184"/>
      <c r="L60" s="184"/>
      <c r="M60" s="143">
        <f>SUM(M51:M59)</f>
        <v>305.731652274</v>
      </c>
    </row>
    <row r="61" spans="1:13">
      <c r="A61" s="42"/>
      <c r="B61" s="12" t="s">
        <v>96</v>
      </c>
      <c r="C61" s="54">
        <v>127.5</v>
      </c>
      <c r="D61" s="55">
        <v>0.4</v>
      </c>
      <c r="E61" s="11">
        <f>-C61*D61</f>
        <v>-51</v>
      </c>
      <c r="F61" s="56">
        <v>0.6</v>
      </c>
      <c r="G61" s="12">
        <f>C61*F61</f>
        <v>76.5</v>
      </c>
      <c r="H61" s="31"/>
    </row>
    <row r="62" spans="1:13" ht="15">
      <c r="B62" s="63" t="s">
        <v>120</v>
      </c>
      <c r="C62" s="158">
        <f>D66-E59</f>
        <v>94.985702140400008</v>
      </c>
      <c r="D62" s="42"/>
      <c r="E62" s="42"/>
      <c r="F62" s="42"/>
      <c r="G62" s="42"/>
      <c r="H62" s="31"/>
    </row>
    <row r="63" spans="1:13" ht="15">
      <c r="B63" s="63" t="s">
        <v>121</v>
      </c>
      <c r="C63" s="158">
        <f>D66-E59+E54+G30</f>
        <v>118.92462306902857</v>
      </c>
      <c r="D63" s="42"/>
      <c r="E63" s="42"/>
      <c r="F63" s="42"/>
      <c r="G63" s="42"/>
      <c r="H63" s="31"/>
    </row>
    <row r="64" spans="1:13">
      <c r="A64" s="42"/>
      <c r="B64" s="42"/>
      <c r="C64" s="46"/>
      <c r="D64" s="42"/>
      <c r="E64" s="42"/>
      <c r="F64" s="42"/>
      <c r="G64" s="42"/>
      <c r="H64" s="31"/>
    </row>
    <row r="65" spans="1:8" ht="38.25">
      <c r="B65" s="47"/>
      <c r="C65" s="45" t="s">
        <v>99</v>
      </c>
      <c r="D65" s="144" t="s">
        <v>100</v>
      </c>
      <c r="E65" s="145" t="s">
        <v>101</v>
      </c>
      <c r="F65" s="146" t="s">
        <v>102</v>
      </c>
      <c r="G65" s="147" t="s">
        <v>103</v>
      </c>
      <c r="H65" s="31"/>
    </row>
    <row r="66" spans="1:8">
      <c r="A66" s="31"/>
      <c r="B66" s="47"/>
      <c r="C66" s="48"/>
      <c r="D66" s="148">
        <f>L21</f>
        <v>150.38228571428573</v>
      </c>
      <c r="E66" s="149">
        <f>D66-E59+E60+E61</f>
        <v>48.2714164261143</v>
      </c>
      <c r="F66" s="148">
        <f>G59</f>
        <v>74.563652273999992</v>
      </c>
      <c r="G66" s="149">
        <f>F66+D66+E60+G61</f>
        <v>305.731652274</v>
      </c>
      <c r="H66" s="31"/>
    </row>
    <row r="67" spans="1:8">
      <c r="A67" s="31"/>
      <c r="B67" s="31"/>
      <c r="C67" s="32"/>
      <c r="D67" s="31"/>
      <c r="E67" s="31"/>
      <c r="F67" s="31"/>
      <c r="G67" s="31"/>
      <c r="H67" s="31"/>
    </row>
    <row r="68" spans="1:8">
      <c r="A68" s="31"/>
      <c r="B68" s="31"/>
      <c r="C68" s="32"/>
      <c r="D68" s="31"/>
      <c r="E68" s="31"/>
      <c r="F68" s="31"/>
      <c r="G68" s="31"/>
      <c r="H68" s="31"/>
    </row>
    <row r="69" spans="1:8" ht="15.75">
      <c r="B69" s="150" t="s">
        <v>104</v>
      </c>
      <c r="C69" s="151"/>
      <c r="D69" s="31"/>
      <c r="E69" s="49"/>
      <c r="F69" s="31"/>
      <c r="G69" s="31"/>
      <c r="H69" s="31"/>
    </row>
    <row r="70" spans="1:8">
      <c r="B70" s="152" t="s">
        <v>3</v>
      </c>
      <c r="C70" s="153">
        <f>PMSS</f>
        <v>3925</v>
      </c>
      <c r="D70" s="31"/>
      <c r="E70" s="31"/>
      <c r="F70" s="31"/>
      <c r="G70" s="31"/>
      <c r="H70" s="31"/>
    </row>
    <row r="71" spans="1:8">
      <c r="B71" s="154" t="s">
        <v>105</v>
      </c>
      <c r="C71" s="155">
        <f>J7/35</f>
        <v>5.7142857142857141E-2</v>
      </c>
    </row>
    <row r="72" spans="1:8">
      <c r="B72" s="154" t="s">
        <v>106</v>
      </c>
      <c r="C72" s="155">
        <f>IF(D66&lt;=C70*C71,D66,C70*C71)</f>
        <v>150.38228571428573</v>
      </c>
    </row>
    <row r="73" spans="1:8">
      <c r="B73" s="154" t="s">
        <v>107</v>
      </c>
      <c r="C73" s="155">
        <f>IF(D66&lt;=C70*4*C71,D66-C70*C71,C70*4*C71)</f>
        <v>-73.903428571428549</v>
      </c>
    </row>
    <row r="74" spans="1:8">
      <c r="B74" s="154" t="s">
        <v>108</v>
      </c>
      <c r="C74" s="155">
        <f>IF(D66&lt;=C70*8*C71,D66-C70*C71,C70*8*C71)</f>
        <v>-73.903428571428549</v>
      </c>
    </row>
    <row r="75" spans="1:8">
      <c r="B75" s="154" t="s">
        <v>109</v>
      </c>
      <c r="C75" s="155">
        <f>IF(D66&lt;=C70*4*C71,D66,C70*4*C71)</f>
        <v>150.38228571428573</v>
      </c>
    </row>
    <row r="76" spans="1:8">
      <c r="B76" s="154" t="s">
        <v>110</v>
      </c>
      <c r="C76" s="155">
        <f>IF(D66&lt;=C70*8*C71,D66-C70*C71,C70*8*C71)</f>
        <v>-73.903428571428549</v>
      </c>
    </row>
    <row r="77" spans="1:8">
      <c r="B77" s="154" t="s">
        <v>111</v>
      </c>
      <c r="C77" s="155">
        <f>IF(D66&lt;=C70*8*C71,D66,C70*8*C71)</f>
        <v>150.38228571428573</v>
      </c>
    </row>
    <row r="78" spans="1:8">
      <c r="B78" s="154"/>
      <c r="C78" s="156"/>
    </row>
    <row r="79" spans="1:8">
      <c r="B79" s="154" t="s">
        <v>122</v>
      </c>
      <c r="C79" s="156">
        <f>ROUND(Paramètre_T_coef_fillon___50_ETP*((1.6*J7*52/12*Smic_horaire/D66)-1),3)</f>
        <v>5.0999999999999997E-2</v>
      </c>
    </row>
    <row r="80" spans="1:8">
      <c r="B80" s="154" t="s">
        <v>113</v>
      </c>
      <c r="C80" s="157">
        <f>ROUND(Paramètre_T_coeff_fillon_50_et*((1.6*J7*52/12*Smic_horaire/D66)-1),3)</f>
        <v>5.0999999999999997E-2</v>
      </c>
    </row>
  </sheetData>
  <sheetProtection sheet="1" objects="1" scenarios="1"/>
  <mergeCells count="28">
    <mergeCell ref="A1:A14"/>
    <mergeCell ref="B1:N1"/>
    <mergeCell ref="B4:M4"/>
    <mergeCell ref="B5:M5"/>
    <mergeCell ref="C7:E7"/>
    <mergeCell ref="J7:K7"/>
    <mergeCell ref="D8:E8"/>
    <mergeCell ref="H8:I8"/>
    <mergeCell ref="G9:I9"/>
    <mergeCell ref="L9:M9"/>
    <mergeCell ref="H10:I10"/>
    <mergeCell ref="L10:M10"/>
    <mergeCell ref="C21:J21"/>
    <mergeCell ref="J22:M22"/>
    <mergeCell ref="D25:E25"/>
    <mergeCell ref="F25:G25"/>
    <mergeCell ref="J60:L60"/>
    <mergeCell ref="J48:M48"/>
    <mergeCell ref="J49:L49"/>
    <mergeCell ref="J51:L51"/>
    <mergeCell ref="J52:L52"/>
    <mergeCell ref="J53:L53"/>
    <mergeCell ref="J54:L54"/>
    <mergeCell ref="J57:L57"/>
    <mergeCell ref="J58:L58"/>
    <mergeCell ref="J59:L59"/>
    <mergeCell ref="J55:L56"/>
    <mergeCell ref="M55:M56"/>
  </mergeCells>
  <dataValidations count="3">
    <dataValidation type="list" allowBlank="1" showInputMessage="1" showErrorMessage="1" sqref="D8:E8" xr:uid="{F734F038-0E9C-4C7A-A6AB-7F31E0AE8731}">
      <formula1>"G,H,I,J"</formula1>
    </dataValidation>
    <dataValidation type="list" allowBlank="1" showInputMessage="1" showErrorMessage="1" sqref="C6" xr:uid="{60CCD4C5-779E-40E2-8BEC-B81DDACD8F9A}">
      <formula1>"0,1,2,3,4,5,6,7,8,9,10,11,12,13,14,15,16,17,18,19,20,21,22,23,24,25,26,27,28,29,30"</formula1>
    </dataValidation>
    <dataValidation type="list" allowBlank="1" showInputMessage="1" showErrorMessage="1" sqref="M7 C3" xr:uid="{9C7F2C63-3FF0-42DB-B28C-5C54596BC7CD}">
      <formula1>"OUI,NON"</formula1>
    </dataValidation>
  </dataValidations>
  <pageMargins left="0.70866141732283472" right="0.70866141732283472" top="0.74803149606299213" bottom="0.74803149606299213" header="0.31496062992125984" footer="0.31496062992125984"/>
  <pageSetup paperSize="9" scale="75" orientation="landscape" r:id="rId1"/>
  <colBreaks count="1" manualBreakCount="1">
    <brk id="14"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6C8C3-CB72-4A07-A116-C86836FE215C}">
  <dimension ref="A1:P78"/>
  <sheetViews>
    <sheetView zoomScale="80" zoomScaleNormal="80" workbookViewId="0">
      <selection activeCell="S6" sqref="S6"/>
    </sheetView>
  </sheetViews>
  <sheetFormatPr baseColWidth="10" defaultColWidth="9.33203125" defaultRowHeight="12.75"/>
  <cols>
    <col min="1" max="1" width="10.6640625" style="16" customWidth="1"/>
    <col min="2" max="2" width="51.1640625" style="16" customWidth="1"/>
    <col min="3" max="3" width="13.6640625" style="50" bestFit="1" customWidth="1"/>
    <col min="4" max="4" width="18.1640625" style="16" customWidth="1"/>
    <col min="5" max="5" width="13.5" style="16" customWidth="1"/>
    <col min="6" max="6" width="10.83203125" style="16" customWidth="1"/>
    <col min="7" max="7" width="10.6640625" style="16" bestFit="1" customWidth="1"/>
    <col min="8" max="8" width="14" style="16" customWidth="1"/>
    <col min="9" max="9" width="7" style="16" customWidth="1"/>
    <col min="10" max="10" width="10.33203125" style="16" customWidth="1"/>
    <col min="11" max="11" width="9" style="16" customWidth="1"/>
    <col min="12" max="12" width="20" style="16" customWidth="1"/>
    <col min="13" max="13" width="11.83203125" style="16" bestFit="1" customWidth="1"/>
    <col min="14" max="14" width="8.33203125" style="16" customWidth="1"/>
    <col min="15" max="15" width="9.33203125" style="16"/>
    <col min="16" max="16" width="12.5" style="16" customWidth="1"/>
    <col min="17" max="16384" width="9.33203125" style="16"/>
  </cols>
  <sheetData>
    <row r="1" spans="1:16" ht="53.25" customHeight="1" thickBot="1">
      <c r="A1" s="193"/>
      <c r="B1" s="195" t="s">
        <v>140</v>
      </c>
      <c r="C1" s="195"/>
      <c r="D1" s="195"/>
      <c r="E1" s="195"/>
      <c r="F1" s="195"/>
      <c r="G1" s="195"/>
      <c r="H1" s="195"/>
      <c r="I1" s="195"/>
      <c r="J1" s="195"/>
      <c r="K1" s="195"/>
      <c r="L1" s="195"/>
      <c r="M1" s="195"/>
      <c r="N1" s="196"/>
      <c r="O1" s="14"/>
      <c r="P1" s="15"/>
    </row>
    <row r="2" spans="1:16" ht="35.450000000000003" customHeight="1" thickBot="1">
      <c r="A2" s="193"/>
      <c r="B2" s="77" t="s">
        <v>18</v>
      </c>
      <c r="C2" s="71">
        <v>25</v>
      </c>
      <c r="D2" s="13"/>
      <c r="E2" s="13"/>
      <c r="F2" s="13"/>
      <c r="G2" s="13"/>
      <c r="H2" s="13"/>
      <c r="I2" s="13"/>
      <c r="J2" s="13"/>
      <c r="K2" s="13"/>
      <c r="L2" s="13"/>
      <c r="M2" s="13"/>
      <c r="N2" s="13"/>
      <c r="O2" s="17"/>
      <c r="P2" s="15"/>
    </row>
    <row r="3" spans="1:16" ht="35.450000000000003" customHeight="1" thickBot="1">
      <c r="A3" s="193"/>
      <c r="B3" s="76" t="s">
        <v>19</v>
      </c>
      <c r="C3" s="72" t="s">
        <v>20</v>
      </c>
      <c r="D3" s="13"/>
      <c r="E3" s="13"/>
      <c r="F3" s="13"/>
      <c r="G3" s="13"/>
      <c r="H3" s="13"/>
      <c r="I3" s="13"/>
      <c r="J3" s="13"/>
      <c r="K3" s="13"/>
      <c r="L3" s="13"/>
      <c r="M3" s="13"/>
      <c r="N3" s="13"/>
      <c r="O3" s="17"/>
      <c r="P3" s="15"/>
    </row>
    <row r="4" spans="1:16" ht="30.6" customHeight="1" thickTop="1" thickBot="1">
      <c r="A4" s="193"/>
      <c r="B4" s="200" t="s">
        <v>21</v>
      </c>
      <c r="C4" s="201"/>
      <c r="D4" s="219"/>
      <c r="E4" s="219"/>
      <c r="F4" s="219"/>
      <c r="G4" s="219"/>
      <c r="H4" s="219"/>
      <c r="I4" s="219"/>
      <c r="J4" s="219"/>
      <c r="K4" s="219"/>
      <c r="L4" s="219"/>
      <c r="M4" s="220"/>
      <c r="N4" s="13"/>
      <c r="O4" s="17"/>
    </row>
    <row r="5" spans="1:16" ht="35.65" customHeight="1" thickTop="1" thickBot="1">
      <c r="A5" s="193"/>
      <c r="B5" s="221"/>
      <c r="C5" s="219"/>
      <c r="D5" s="219"/>
      <c r="E5" s="219"/>
      <c r="F5" s="219"/>
      <c r="G5" s="219"/>
      <c r="H5" s="219"/>
      <c r="I5" s="219"/>
      <c r="J5" s="219"/>
      <c r="K5" s="219"/>
      <c r="L5" s="219"/>
      <c r="M5" s="220"/>
      <c r="N5" s="18"/>
      <c r="O5" s="19"/>
    </row>
    <row r="6" spans="1:16" ht="35.65" customHeight="1" thickBot="1">
      <c r="A6" s="193"/>
      <c r="B6" s="57" t="s">
        <v>22</v>
      </c>
      <c r="C6" s="64">
        <v>6</v>
      </c>
      <c r="D6" s="58"/>
      <c r="E6" s="58"/>
      <c r="F6" s="58"/>
      <c r="G6" s="58"/>
      <c r="H6" s="58"/>
      <c r="I6" s="58"/>
      <c r="J6" s="58"/>
      <c r="K6" s="58"/>
      <c r="L6" s="58"/>
      <c r="M6" s="59"/>
      <c r="N6" s="18"/>
      <c r="O6" s="19"/>
    </row>
    <row r="7" spans="1:16" ht="25.15" customHeight="1" thickBot="1">
      <c r="A7" s="193"/>
      <c r="B7" s="20" t="s">
        <v>23</v>
      </c>
      <c r="C7" s="201"/>
      <c r="D7" s="201"/>
      <c r="E7" s="201"/>
      <c r="F7" s="222" t="s">
        <v>123</v>
      </c>
      <c r="G7" s="222"/>
      <c r="H7" s="222"/>
      <c r="I7" s="223"/>
      <c r="J7" s="203">
        <v>214</v>
      </c>
      <c r="K7" s="204"/>
      <c r="L7" s="21"/>
      <c r="M7" s="22"/>
      <c r="N7" s="19"/>
      <c r="O7" s="19"/>
      <c r="P7" s="23"/>
    </row>
    <row r="8" spans="1:16" ht="25.15" customHeight="1" thickBot="1">
      <c r="A8" s="193"/>
      <c r="B8" s="20" t="s">
        <v>26</v>
      </c>
      <c r="C8" s="24"/>
      <c r="D8" s="205" t="s">
        <v>124</v>
      </c>
      <c r="E8" s="206"/>
      <c r="F8" s="21" t="s">
        <v>28</v>
      </c>
      <c r="G8" s="21"/>
      <c r="H8" s="207">
        <v>400</v>
      </c>
      <c r="I8" s="208"/>
      <c r="J8" s="21"/>
      <c r="M8" s="22"/>
      <c r="N8" s="19"/>
      <c r="O8" s="19"/>
    </row>
    <row r="9" spans="1:16" ht="18.75" customHeight="1">
      <c r="A9" s="193"/>
      <c r="B9" s="84" t="s">
        <v>29</v>
      </c>
      <c r="C9" s="162">
        <f>Valeur_de_point_V1</f>
        <v>7.15</v>
      </c>
      <c r="G9" s="209"/>
      <c r="H9" s="210"/>
      <c r="I9" s="211"/>
      <c r="J9" s="19"/>
      <c r="K9" s="85"/>
      <c r="L9" s="212" t="s">
        <v>31</v>
      </c>
      <c r="M9" s="213"/>
      <c r="N9" s="19"/>
      <c r="O9" s="19"/>
    </row>
    <row r="10" spans="1:16" ht="18.75" customHeight="1" thickBot="1">
      <c r="A10" s="193"/>
      <c r="B10" s="86" t="s">
        <v>32</v>
      </c>
      <c r="C10" s="163">
        <f>Valeur_de_point_V2</f>
        <v>6.73</v>
      </c>
      <c r="G10" s="87"/>
      <c r="H10" s="214"/>
      <c r="I10" s="215"/>
      <c r="J10" s="19"/>
      <c r="K10" s="88"/>
      <c r="L10" s="214"/>
      <c r="M10" s="216"/>
      <c r="N10" s="19"/>
      <c r="O10" s="19"/>
    </row>
    <row r="11" spans="1:16" ht="29.25" customHeight="1" thickBot="1">
      <c r="A11" s="193"/>
      <c r="B11" s="89" t="s">
        <v>33</v>
      </c>
      <c r="C11" s="116">
        <f>Paramètres!F5</f>
        <v>257</v>
      </c>
      <c r="D11" s="166" t="s">
        <v>34</v>
      </c>
      <c r="E11" s="167" t="s">
        <v>35</v>
      </c>
      <c r="F11" s="118">
        <f>C9</f>
        <v>7.15</v>
      </c>
      <c r="G11" s="168"/>
      <c r="H11" s="120"/>
      <c r="I11" s="121"/>
      <c r="J11" s="122"/>
      <c r="K11" s="123"/>
      <c r="L11" s="124">
        <f t="shared" ref="L11:L16" si="0">C11*F11</f>
        <v>1837.5500000000002</v>
      </c>
      <c r="M11" s="125" t="s">
        <v>37</v>
      </c>
      <c r="O11" s="19"/>
    </row>
    <row r="12" spans="1:16" ht="32.1" customHeight="1" thickBot="1">
      <c r="A12" s="193"/>
      <c r="B12" s="96" t="s">
        <v>38</v>
      </c>
      <c r="C12" s="117">
        <f>H8-C11</f>
        <v>143</v>
      </c>
      <c r="D12" s="169" t="s">
        <v>39</v>
      </c>
      <c r="E12" s="170" t="s">
        <v>35</v>
      </c>
      <c r="F12" s="126">
        <f>C10</f>
        <v>6.73</v>
      </c>
      <c r="G12" s="168"/>
      <c r="H12" s="120"/>
      <c r="I12" s="121"/>
      <c r="J12" s="122"/>
      <c r="K12" s="127" t="s">
        <v>38</v>
      </c>
      <c r="L12" s="124">
        <f t="shared" si="0"/>
        <v>962.3900000000001</v>
      </c>
      <c r="M12" s="128" t="s">
        <v>40</v>
      </c>
    </row>
    <row r="13" spans="1:16" ht="32.1" customHeight="1" thickBot="1">
      <c r="A13" s="193"/>
      <c r="B13" s="100" t="s">
        <v>41</v>
      </c>
      <c r="C13" s="1"/>
      <c r="D13" s="171" t="s">
        <v>42</v>
      </c>
      <c r="E13" s="170" t="s">
        <v>35</v>
      </c>
      <c r="F13" s="126">
        <f>C10</f>
        <v>6.73</v>
      </c>
      <c r="G13" s="168"/>
      <c r="H13" s="120"/>
      <c r="I13" s="121"/>
      <c r="J13" s="122"/>
      <c r="K13" s="129" t="s">
        <v>38</v>
      </c>
      <c r="L13" s="124">
        <f t="shared" si="0"/>
        <v>0</v>
      </c>
      <c r="M13" s="128" t="s">
        <v>40</v>
      </c>
    </row>
    <row r="14" spans="1:16" ht="32.1" customHeight="1" thickBot="1">
      <c r="A14" s="194"/>
      <c r="B14" s="100" t="s">
        <v>43</v>
      </c>
      <c r="C14" s="2">
        <f>+(C6)*2</f>
        <v>12</v>
      </c>
      <c r="D14" s="171" t="s">
        <v>42</v>
      </c>
      <c r="E14" s="170" t="s">
        <v>35</v>
      </c>
      <c r="F14" s="126">
        <f>C9</f>
        <v>7.15</v>
      </c>
      <c r="G14" s="168"/>
      <c r="H14" s="120"/>
      <c r="I14" s="121"/>
      <c r="J14" s="122"/>
      <c r="K14" s="129" t="s">
        <v>38</v>
      </c>
      <c r="L14" s="124">
        <f t="shared" si="0"/>
        <v>85.800000000000011</v>
      </c>
      <c r="M14" s="128" t="s">
        <v>40</v>
      </c>
    </row>
    <row r="15" spans="1:16" ht="32.1" customHeight="1" thickBot="1">
      <c r="A15" s="25"/>
      <c r="B15" s="100" t="s">
        <v>45</v>
      </c>
      <c r="C15" s="1"/>
      <c r="D15" s="171" t="s">
        <v>42</v>
      </c>
      <c r="E15" s="170" t="s">
        <v>35</v>
      </c>
      <c r="F15" s="126">
        <f>C10</f>
        <v>6.73</v>
      </c>
      <c r="G15" s="168"/>
      <c r="H15" s="120"/>
      <c r="I15" s="121"/>
      <c r="J15" s="122"/>
      <c r="K15" s="129" t="s">
        <v>38</v>
      </c>
      <c r="L15" s="124">
        <f t="shared" si="0"/>
        <v>0</v>
      </c>
      <c r="M15" s="128" t="s">
        <v>40</v>
      </c>
    </row>
    <row r="16" spans="1:16" ht="32.1" customHeight="1" thickBot="1">
      <c r="A16" s="25"/>
      <c r="B16" s="100" t="s">
        <v>46</v>
      </c>
      <c r="C16" s="1"/>
      <c r="D16" s="171" t="s">
        <v>42</v>
      </c>
      <c r="E16" s="170" t="s">
        <v>35</v>
      </c>
      <c r="F16" s="126">
        <f>C10</f>
        <v>6.73</v>
      </c>
      <c r="G16" s="172"/>
      <c r="H16" s="120"/>
      <c r="I16" s="131"/>
      <c r="J16" s="122"/>
      <c r="K16" s="129" t="s">
        <v>38</v>
      </c>
      <c r="L16" s="124">
        <f t="shared" si="0"/>
        <v>0</v>
      </c>
      <c r="M16" s="128" t="s">
        <v>40</v>
      </c>
    </row>
    <row r="17" spans="1:14" ht="32.1" customHeight="1" thickBot="1">
      <c r="A17" s="26"/>
      <c r="B17" s="100" t="s">
        <v>48</v>
      </c>
      <c r="C17" s="1"/>
      <c r="D17" s="101"/>
      <c r="E17" s="98"/>
      <c r="F17" s="3"/>
      <c r="G17" s="164"/>
      <c r="H17" s="92"/>
      <c r="I17" s="103"/>
      <c r="J17" s="93"/>
      <c r="K17" s="106" t="s">
        <v>38</v>
      </c>
      <c r="L17" s="94">
        <f>C17</f>
        <v>0</v>
      </c>
      <c r="M17" s="108"/>
    </row>
    <row r="18" spans="1:14" ht="31.5" customHeight="1" thickBot="1">
      <c r="A18" s="26"/>
      <c r="B18" s="109" t="s">
        <v>49</v>
      </c>
      <c r="C18" s="1"/>
      <c r="D18" s="101" t="s">
        <v>42</v>
      </c>
      <c r="E18" s="98" t="s">
        <v>35</v>
      </c>
      <c r="F18" s="3">
        <f>C10</f>
        <v>6.73</v>
      </c>
      <c r="G18" s="165"/>
      <c r="H18" s="92"/>
      <c r="I18" s="103"/>
      <c r="J18" s="93"/>
      <c r="K18" s="106" t="s">
        <v>38</v>
      </c>
      <c r="L18" s="94">
        <f>C18*F18</f>
        <v>0</v>
      </c>
      <c r="M18" s="108" t="s">
        <v>40</v>
      </c>
    </row>
    <row r="19" spans="1:14" ht="30" customHeight="1" thickBot="1">
      <c r="A19" s="26"/>
      <c r="B19" s="111" t="s">
        <v>50</v>
      </c>
      <c r="C19" s="189"/>
      <c r="D19" s="189"/>
      <c r="E19" s="189"/>
      <c r="F19" s="189"/>
      <c r="G19" s="190"/>
      <c r="H19" s="190"/>
      <c r="I19" s="190"/>
      <c r="J19" s="191"/>
      <c r="K19" s="112" t="s">
        <v>51</v>
      </c>
      <c r="L19" s="137">
        <f>SUM(L11:L18)</f>
        <v>2885.7400000000007</v>
      </c>
      <c r="M19" s="113" t="s">
        <v>40</v>
      </c>
    </row>
    <row r="20" spans="1:14" ht="40.15" customHeight="1" thickTop="1">
      <c r="A20" s="27"/>
      <c r="B20" s="28"/>
      <c r="C20" s="29"/>
      <c r="D20" s="29"/>
      <c r="E20" s="29"/>
      <c r="F20" s="29"/>
      <c r="G20" s="29"/>
      <c r="H20" s="29"/>
      <c r="I20" s="29"/>
      <c r="J20" s="192" t="s">
        <v>52</v>
      </c>
      <c r="K20" s="192"/>
      <c r="L20" s="192"/>
      <c r="M20" s="192"/>
      <c r="N20" s="30"/>
    </row>
    <row r="22" spans="1:14">
      <c r="A22" s="31"/>
      <c r="B22" s="31"/>
      <c r="C22" s="32"/>
      <c r="D22" s="31"/>
      <c r="E22" s="31"/>
      <c r="F22" s="31"/>
      <c r="G22" s="31"/>
      <c r="H22" s="31"/>
    </row>
    <row r="23" spans="1:14">
      <c r="A23" s="33"/>
      <c r="B23" s="34" t="s">
        <v>53</v>
      </c>
      <c r="C23" s="7" t="s">
        <v>54</v>
      </c>
      <c r="D23" s="182" t="s">
        <v>55</v>
      </c>
      <c r="E23" s="183"/>
      <c r="F23" s="182" t="s">
        <v>56</v>
      </c>
      <c r="G23" s="183"/>
      <c r="H23" s="31"/>
    </row>
    <row r="24" spans="1:14">
      <c r="A24" s="31"/>
      <c r="B24" s="33"/>
      <c r="C24" s="32"/>
      <c r="D24" s="33" t="s">
        <v>57</v>
      </c>
      <c r="E24" s="33" t="s">
        <v>58</v>
      </c>
      <c r="F24" s="33" t="s">
        <v>57</v>
      </c>
      <c r="G24" s="33" t="s">
        <v>58</v>
      </c>
      <c r="H24" s="31"/>
    </row>
    <row r="25" spans="1:14">
      <c r="A25" s="31"/>
      <c r="B25" s="35" t="s">
        <v>59</v>
      </c>
      <c r="C25" s="138">
        <f>$D$64</f>
        <v>2885.7400000000007</v>
      </c>
      <c r="D25" s="139">
        <f>IF(C3="OUI",Paramètres!C20,0)</f>
        <v>0</v>
      </c>
      <c r="E25" s="140">
        <f>D25*C25/100</f>
        <v>0</v>
      </c>
      <c r="F25" s="139">
        <f>IF($D$64&lt;(Smic_horaire*151.67*2.4721*J7/218),7,13)</f>
        <v>7</v>
      </c>
      <c r="G25" s="140">
        <f t="shared" ref="G25:G43" si="1">F25*C25/100</f>
        <v>202.00180000000003</v>
      </c>
      <c r="H25" s="31"/>
    </row>
    <row r="26" spans="1:14">
      <c r="A26" s="33"/>
      <c r="B26" s="35" t="s">
        <v>116</v>
      </c>
      <c r="C26" s="36">
        <f>IF($D$64&gt;C70,C70,D64)</f>
        <v>2885.7400000000007</v>
      </c>
      <c r="D26" s="5">
        <v>0.01</v>
      </c>
      <c r="E26" s="6">
        <f>D26*C26/100</f>
        <v>0.28857400000000011</v>
      </c>
      <c r="F26" s="5">
        <v>1.53</v>
      </c>
      <c r="G26" s="6">
        <f t="shared" si="1"/>
        <v>44.15182200000001</v>
      </c>
      <c r="H26" s="31"/>
    </row>
    <row r="27" spans="1:14">
      <c r="A27" s="33"/>
      <c r="B27" s="35" t="s">
        <v>117</v>
      </c>
      <c r="C27" s="4">
        <f>IF(D64&gt;C70,D64-C70,0)</f>
        <v>0</v>
      </c>
      <c r="D27" s="5">
        <v>0.56999999999999995</v>
      </c>
      <c r="E27" s="6">
        <f>C27*D27/100</f>
        <v>0</v>
      </c>
      <c r="F27" s="5">
        <v>0.56999999999999995</v>
      </c>
      <c r="G27" s="6">
        <f>C27*F27/100</f>
        <v>0</v>
      </c>
      <c r="H27" s="31"/>
    </row>
    <row r="28" spans="1:14">
      <c r="A28" s="33"/>
      <c r="B28" s="35" t="s">
        <v>61</v>
      </c>
      <c r="C28" s="51">
        <f>PMSS</f>
        <v>3925</v>
      </c>
      <c r="D28" s="52">
        <f>0.97/2</f>
        <v>0.48499999999999999</v>
      </c>
      <c r="E28" s="53">
        <f t="shared" ref="E28:E36" si="2">D28*C28/100</f>
        <v>19.036249999999999</v>
      </c>
      <c r="F28" s="52">
        <f>0.97/2</f>
        <v>0.48499999999999999</v>
      </c>
      <c r="G28" s="53">
        <f t="shared" si="1"/>
        <v>19.036249999999999</v>
      </c>
      <c r="H28" s="31"/>
    </row>
    <row r="29" spans="1:14">
      <c r="A29" s="33"/>
      <c r="B29" s="35" t="s">
        <v>62</v>
      </c>
      <c r="C29" s="36">
        <f>$D$64</f>
        <v>2885.7400000000007</v>
      </c>
      <c r="D29" s="5">
        <v>0</v>
      </c>
      <c r="E29" s="6">
        <f t="shared" si="2"/>
        <v>0</v>
      </c>
      <c r="F29" s="52">
        <v>1.3</v>
      </c>
      <c r="G29" s="6">
        <f t="shared" si="1"/>
        <v>37.514620000000008</v>
      </c>
      <c r="H29" s="31"/>
    </row>
    <row r="30" spans="1:14">
      <c r="A30" s="33"/>
      <c r="B30" s="35" t="s">
        <v>63</v>
      </c>
      <c r="C30" s="138">
        <f>C70</f>
        <v>2885.7400000000007</v>
      </c>
      <c r="D30" s="139">
        <v>6.9</v>
      </c>
      <c r="E30" s="140">
        <f t="shared" si="2"/>
        <v>199.11606000000006</v>
      </c>
      <c r="F30" s="139">
        <v>8.5500000000000007</v>
      </c>
      <c r="G30" s="140">
        <f t="shared" si="1"/>
        <v>246.73077000000009</v>
      </c>
      <c r="H30" s="31"/>
    </row>
    <row r="31" spans="1:14">
      <c r="A31" s="31"/>
      <c r="B31" s="35" t="s">
        <v>64</v>
      </c>
      <c r="C31" s="138">
        <f>$D$64</f>
        <v>2885.7400000000007</v>
      </c>
      <c r="D31" s="139">
        <v>0.4</v>
      </c>
      <c r="E31" s="140">
        <f t="shared" si="2"/>
        <v>11.542960000000003</v>
      </c>
      <c r="F31" s="139">
        <v>2.02</v>
      </c>
      <c r="G31" s="140">
        <f t="shared" si="1"/>
        <v>58.291948000000012</v>
      </c>
      <c r="H31" s="31"/>
    </row>
    <row r="32" spans="1:14">
      <c r="A32" s="37"/>
      <c r="B32" s="35" t="s">
        <v>65</v>
      </c>
      <c r="C32" s="36">
        <f>C70</f>
        <v>2885.7400000000007</v>
      </c>
      <c r="D32" s="52">
        <v>5.08</v>
      </c>
      <c r="E32" s="6">
        <f t="shared" si="2"/>
        <v>146.59559200000004</v>
      </c>
      <c r="F32" s="52">
        <v>5.08</v>
      </c>
      <c r="G32" s="6">
        <f t="shared" si="1"/>
        <v>146.59559200000004</v>
      </c>
      <c r="H32" s="31"/>
    </row>
    <row r="33" spans="1:13">
      <c r="A33" s="31"/>
      <c r="B33" s="35" t="s">
        <v>66</v>
      </c>
      <c r="C33" s="138">
        <f>MAX(C72,0)</f>
        <v>0</v>
      </c>
      <c r="D33" s="139">
        <v>8.64</v>
      </c>
      <c r="E33" s="140">
        <f t="shared" si="2"/>
        <v>0</v>
      </c>
      <c r="F33" s="139">
        <v>12.95</v>
      </c>
      <c r="G33" s="140">
        <f t="shared" si="1"/>
        <v>0</v>
      </c>
      <c r="H33" s="31"/>
    </row>
    <row r="34" spans="1:13">
      <c r="A34" s="33"/>
      <c r="B34" s="35" t="s">
        <v>67</v>
      </c>
      <c r="C34" s="138">
        <f>C70</f>
        <v>2885.7400000000007</v>
      </c>
      <c r="D34" s="139">
        <v>0.86</v>
      </c>
      <c r="E34" s="140">
        <f t="shared" si="2"/>
        <v>24.817364000000008</v>
      </c>
      <c r="F34" s="139">
        <v>1.29</v>
      </c>
      <c r="G34" s="140">
        <f t="shared" si="1"/>
        <v>37.226046000000011</v>
      </c>
      <c r="H34" s="31"/>
    </row>
    <row r="35" spans="1:13">
      <c r="A35" s="31"/>
      <c r="B35" s="35" t="s">
        <v>68</v>
      </c>
      <c r="C35" s="138">
        <f>MAX(C72,0)</f>
        <v>0</v>
      </c>
      <c r="D35" s="139">
        <v>1.08</v>
      </c>
      <c r="E35" s="140">
        <f t="shared" si="2"/>
        <v>0</v>
      </c>
      <c r="F35" s="139">
        <v>1.62</v>
      </c>
      <c r="G35" s="140">
        <f t="shared" si="1"/>
        <v>0</v>
      </c>
      <c r="H35" s="31"/>
    </row>
    <row r="36" spans="1:13">
      <c r="A36" s="31"/>
      <c r="B36" s="35" t="s">
        <v>69</v>
      </c>
      <c r="C36" s="138">
        <f>IF(D64&lt;=C70,0,D64)</f>
        <v>0</v>
      </c>
      <c r="D36" s="139">
        <v>0.14000000000000001</v>
      </c>
      <c r="E36" s="140">
        <f t="shared" si="2"/>
        <v>0</v>
      </c>
      <c r="F36" s="139">
        <v>0.21</v>
      </c>
      <c r="G36" s="140">
        <f t="shared" si="1"/>
        <v>0</v>
      </c>
      <c r="H36" s="31"/>
    </row>
    <row r="37" spans="1:13">
      <c r="A37" s="33"/>
      <c r="B37" s="35" t="s">
        <v>70</v>
      </c>
      <c r="C37" s="180">
        <f>D64</f>
        <v>2885.7400000000007</v>
      </c>
      <c r="D37" s="139"/>
      <c r="E37" s="140"/>
      <c r="F37" s="139">
        <f>IF($D$64&lt;(3.4609*Smic_horaire*151.67*J7/218),3.45,5.25)</f>
        <v>3.45</v>
      </c>
      <c r="G37" s="140">
        <f t="shared" si="1"/>
        <v>99.558030000000031</v>
      </c>
      <c r="H37" s="31"/>
    </row>
    <row r="38" spans="1:13">
      <c r="A38" s="33"/>
      <c r="B38" s="35" t="s">
        <v>71</v>
      </c>
      <c r="C38" s="138">
        <f>C73</f>
        <v>2885.7400000000007</v>
      </c>
      <c r="D38" s="139">
        <v>0</v>
      </c>
      <c r="E38" s="140"/>
      <c r="F38" s="139">
        <v>4.05</v>
      </c>
      <c r="G38" s="140">
        <f t="shared" si="1"/>
        <v>116.87247000000004</v>
      </c>
      <c r="H38" s="31"/>
    </row>
    <row r="39" spans="1:13">
      <c r="A39" s="33"/>
      <c r="B39" s="35" t="s">
        <v>72</v>
      </c>
      <c r="C39" s="138">
        <f>C73</f>
        <v>2885.7400000000007</v>
      </c>
      <c r="D39" s="139"/>
      <c r="E39" s="140"/>
      <c r="F39" s="139">
        <v>0.25</v>
      </c>
      <c r="G39" s="140">
        <f t="shared" si="1"/>
        <v>7.2143500000000014</v>
      </c>
      <c r="H39" s="31"/>
    </row>
    <row r="40" spans="1:13">
      <c r="A40" s="33"/>
      <c r="B40" s="35" t="s">
        <v>118</v>
      </c>
      <c r="C40" s="36">
        <f>C73</f>
        <v>2885.7400000000007</v>
      </c>
      <c r="D40" s="5">
        <v>2.4E-2</v>
      </c>
      <c r="E40" s="6">
        <f>C40*D40/100</f>
        <v>0.69257760000000024</v>
      </c>
      <c r="F40" s="5">
        <v>3.5999999999999997E-2</v>
      </c>
      <c r="G40" s="6">
        <f t="shared" si="1"/>
        <v>1.0388664000000001</v>
      </c>
      <c r="H40" s="31"/>
    </row>
    <row r="41" spans="1:13" ht="25.5">
      <c r="A41" s="33"/>
      <c r="B41" s="60" t="s">
        <v>73</v>
      </c>
      <c r="C41" s="36">
        <f>IF(C2&lt;11,0,D64)</f>
        <v>2885.7400000000007</v>
      </c>
      <c r="D41" s="5"/>
      <c r="E41" s="33"/>
      <c r="F41" s="52">
        <v>1.3</v>
      </c>
      <c r="G41" s="6">
        <f t="shared" si="1"/>
        <v>37.514620000000008</v>
      </c>
      <c r="H41" s="31"/>
    </row>
    <row r="42" spans="1:13">
      <c r="A42" s="33"/>
      <c r="B42" s="35" t="s">
        <v>74</v>
      </c>
      <c r="C42" s="36">
        <f>D64</f>
        <v>2885.7400000000007</v>
      </c>
      <c r="D42" s="5"/>
      <c r="E42" s="33"/>
      <c r="F42" s="5">
        <v>0.3</v>
      </c>
      <c r="G42" s="6">
        <f t="shared" si="1"/>
        <v>8.6572200000000024</v>
      </c>
      <c r="H42" s="31"/>
    </row>
    <row r="43" spans="1:13">
      <c r="A43" s="33"/>
      <c r="B43" s="35" t="s">
        <v>75</v>
      </c>
      <c r="C43" s="36">
        <f>IF(C2&lt;50,C70,D64)</f>
        <v>2885.7400000000007</v>
      </c>
      <c r="D43" s="5"/>
      <c r="E43" s="33"/>
      <c r="F43" s="5">
        <f>IF(C2&lt;50,0.1,0.5)</f>
        <v>0.1</v>
      </c>
      <c r="G43" s="6">
        <f t="shared" si="1"/>
        <v>2.8857400000000006</v>
      </c>
      <c r="H43" s="38"/>
    </row>
    <row r="44" spans="1:13">
      <c r="A44" s="33"/>
      <c r="B44" s="35" t="s">
        <v>76</v>
      </c>
      <c r="C44" s="36">
        <f>$D$64</f>
        <v>2885.7400000000007</v>
      </c>
      <c r="D44" s="5"/>
      <c r="E44" s="6"/>
      <c r="F44" s="5">
        <v>1.6E-2</v>
      </c>
      <c r="G44" s="6">
        <f>F44*C44/100</f>
        <v>0.46171840000000008</v>
      </c>
      <c r="H44" s="31"/>
    </row>
    <row r="45" spans="1:13">
      <c r="A45" s="33"/>
      <c r="B45" s="35" t="s">
        <v>77</v>
      </c>
      <c r="C45" s="138">
        <f>IF(C2&lt;11,0,(1.51%*C26+0.55%*C27+G28))</f>
        <v>62.610924000000011</v>
      </c>
      <c r="D45" s="5"/>
      <c r="E45" s="6"/>
      <c r="F45" s="5">
        <v>8</v>
      </c>
      <c r="G45" s="6">
        <f>F45*C45/100</f>
        <v>5.008873920000001</v>
      </c>
      <c r="H45" s="31"/>
    </row>
    <row r="46" spans="1:13" ht="20.25">
      <c r="A46" s="39"/>
      <c r="B46" s="35" t="s">
        <v>78</v>
      </c>
      <c r="C46" s="138">
        <f>$D$64</f>
        <v>2885.7400000000007</v>
      </c>
      <c r="D46" s="139"/>
      <c r="E46" s="181"/>
      <c r="F46" s="139">
        <f>IF(C2&lt;11,0.55,1)</f>
        <v>1</v>
      </c>
      <c r="G46" s="140">
        <f t="shared" ref="G46:G55" si="3">F46*C46/100</f>
        <v>28.857400000000005</v>
      </c>
      <c r="H46" s="31"/>
      <c r="J46" s="217" t="s">
        <v>79</v>
      </c>
      <c r="K46" s="217"/>
      <c r="L46" s="217"/>
      <c r="M46" s="217"/>
    </row>
    <row r="47" spans="1:13">
      <c r="A47" s="39"/>
      <c r="B47" s="35" t="s">
        <v>80</v>
      </c>
      <c r="C47" s="138">
        <f>$D$64</f>
        <v>2885.7400000000007</v>
      </c>
      <c r="D47" s="139"/>
      <c r="E47" s="181"/>
      <c r="F47" s="139">
        <f>IF(C2&lt;11,1.55,1.1)</f>
        <v>1.1000000000000001</v>
      </c>
      <c r="G47" s="140">
        <f t="shared" si="3"/>
        <v>31.743140000000011</v>
      </c>
      <c r="H47" s="31"/>
      <c r="J47" s="218"/>
      <c r="K47" s="218"/>
      <c r="L47" s="218"/>
    </row>
    <row r="48" spans="1:13">
      <c r="A48" s="39"/>
      <c r="B48" s="35"/>
      <c r="C48" s="36"/>
      <c r="D48" s="5"/>
      <c r="E48" s="33"/>
      <c r="F48" s="5"/>
      <c r="G48" s="6"/>
      <c r="H48" s="31"/>
    </row>
    <row r="49" spans="1:13" ht="13.15" customHeight="1">
      <c r="A49" s="39"/>
      <c r="B49" s="35" t="s">
        <v>81</v>
      </c>
      <c r="C49" s="36">
        <f>$D$64</f>
        <v>2885.7400000000007</v>
      </c>
      <c r="D49" s="5"/>
      <c r="E49" s="33"/>
      <c r="F49" s="5">
        <v>0.1</v>
      </c>
      <c r="G49" s="6">
        <f t="shared" si="3"/>
        <v>2.8857400000000006</v>
      </c>
      <c r="H49" s="31"/>
      <c r="J49" s="186" t="s">
        <v>82</v>
      </c>
      <c r="K49" s="186"/>
      <c r="L49" s="186"/>
      <c r="M49" s="142">
        <f>(G53+G54+G55)</f>
        <v>292.99172566400011</v>
      </c>
    </row>
    <row r="50" spans="1:13" ht="13.15" customHeight="1">
      <c r="A50" s="33"/>
      <c r="B50" s="35" t="s">
        <v>119</v>
      </c>
      <c r="C50" s="36">
        <f>D64</f>
        <v>2885.7400000000007</v>
      </c>
      <c r="D50" s="5"/>
      <c r="E50" s="6"/>
      <c r="F50" s="5">
        <f>IF(C2&lt;50,0,0.45)</f>
        <v>0</v>
      </c>
      <c r="G50" s="6">
        <f t="shared" si="3"/>
        <v>0</v>
      </c>
      <c r="H50" s="38"/>
      <c r="J50" s="186"/>
      <c r="K50" s="186"/>
      <c r="L50" s="186"/>
      <c r="M50" s="142"/>
    </row>
    <row r="51" spans="1:13" ht="13.15" customHeight="1">
      <c r="A51" s="39"/>
      <c r="B51" s="35" t="s">
        <v>84</v>
      </c>
      <c r="C51" s="36">
        <f>98.25%*$D$64+(C26*1.51%)+(C27*0.55%)+$G$28</f>
        <v>2897.8504740000008</v>
      </c>
      <c r="D51" s="5">
        <v>6.8</v>
      </c>
      <c r="E51" s="6">
        <f>D51*C51/100</f>
        <v>197.05383223200005</v>
      </c>
      <c r="F51" s="5"/>
      <c r="G51" s="6"/>
      <c r="H51" s="31"/>
      <c r="J51" s="186"/>
      <c r="K51" s="186"/>
      <c r="L51" s="186"/>
      <c r="M51" s="141"/>
    </row>
    <row r="52" spans="1:13" ht="13.15" customHeight="1">
      <c r="A52" s="39"/>
      <c r="B52" s="35" t="s">
        <v>85</v>
      </c>
      <c r="C52" s="36">
        <f>98.25%*$D$64+(C26*1.51%)+(C27*0.55%)+$G$28</f>
        <v>2897.8504740000008</v>
      </c>
      <c r="D52" s="5">
        <v>2.9</v>
      </c>
      <c r="E52" s="6">
        <f>D52*C52/100</f>
        <v>84.037663746000021</v>
      </c>
      <c r="F52" s="5"/>
      <c r="G52" s="6"/>
      <c r="H52" s="31"/>
      <c r="J52" s="186" t="s">
        <v>86</v>
      </c>
      <c r="K52" s="186"/>
      <c r="L52" s="186"/>
      <c r="M52" s="142">
        <f>D64</f>
        <v>2885.7400000000007</v>
      </c>
    </row>
    <row r="53" spans="1:13" ht="13.15" customHeight="1">
      <c r="A53" s="33"/>
      <c r="B53" s="40" t="s">
        <v>87</v>
      </c>
      <c r="C53" s="36">
        <f>$D$64+(C26*1.51%)+(C27*0.55%)+G28</f>
        <v>2948.3509240000008</v>
      </c>
      <c r="D53" s="5"/>
      <c r="E53" s="6"/>
      <c r="F53" s="5">
        <v>4.25</v>
      </c>
      <c r="G53" s="6">
        <f t="shared" si="3"/>
        <v>125.30491427000003</v>
      </c>
      <c r="H53" s="31"/>
      <c r="J53" s="187" t="s">
        <v>88</v>
      </c>
      <c r="K53" s="187"/>
      <c r="L53" s="187"/>
      <c r="M53" s="188">
        <f>F64-M49</f>
        <v>1134.2470167200001</v>
      </c>
    </row>
    <row r="54" spans="1:13" ht="13.15" customHeight="1">
      <c r="A54" s="33"/>
      <c r="B54" s="40" t="s">
        <v>89</v>
      </c>
      <c r="C54" s="36">
        <f>IF(C53&gt;=tranche_1_taxe_salaire,IF(C53&gt;=tranche_2_taxe_salaire,tranche_2_taxe_salaire-tranche_1_taxe_salaire,C53-tranche_1_taxe_salaire),0)</f>
        <v>746</v>
      </c>
      <c r="D54" s="5"/>
      <c r="E54" s="6"/>
      <c r="F54" s="5">
        <v>4.25</v>
      </c>
      <c r="G54" s="6">
        <f t="shared" si="3"/>
        <v>31.704999999999998</v>
      </c>
      <c r="H54" s="31"/>
      <c r="J54" s="187"/>
      <c r="K54" s="187"/>
      <c r="L54" s="187"/>
      <c r="M54" s="188"/>
    </row>
    <row r="55" spans="1:13" ht="13.15" customHeight="1">
      <c r="A55" s="33"/>
      <c r="B55" s="40" t="s">
        <v>90</v>
      </c>
      <c r="C55" s="36">
        <f>IF(C53&gt;tranche_2_taxe_salaire,C53-tranche_2_taxe_salaire,0)</f>
        <v>1454.3509240000008</v>
      </c>
      <c r="D55" s="5"/>
      <c r="E55" s="6"/>
      <c r="F55" s="5">
        <v>9.35</v>
      </c>
      <c r="G55" s="6">
        <f t="shared" si="3"/>
        <v>135.98181139400006</v>
      </c>
      <c r="H55" s="31"/>
      <c r="J55" s="186" t="s">
        <v>91</v>
      </c>
      <c r="K55" s="186"/>
      <c r="L55" s="186"/>
      <c r="M55" s="142">
        <f>(E58+G59)</f>
        <v>114</v>
      </c>
    </row>
    <row r="56" spans="1:13" ht="13.15" customHeight="1">
      <c r="A56" s="33"/>
      <c r="B56" s="173" t="s">
        <v>92</v>
      </c>
      <c r="C56" s="159">
        <f>D64</f>
        <v>2885.7400000000007</v>
      </c>
      <c r="D56" s="160"/>
      <c r="E56" s="161"/>
      <c r="F56" s="160">
        <f>IF(C2&lt;50,-C77,-C78)</f>
        <v>0.01</v>
      </c>
      <c r="G56" s="161">
        <f>IF(F56&gt;0,0,C56*F56)</f>
        <v>0</v>
      </c>
      <c r="H56" s="38"/>
      <c r="J56" s="186"/>
      <c r="K56" s="186"/>
      <c r="L56" s="186"/>
      <c r="M56" s="142"/>
    </row>
    <row r="57" spans="1:13">
      <c r="A57" s="42"/>
      <c r="B57" s="43" t="s">
        <v>93</v>
      </c>
      <c r="C57" s="7"/>
      <c r="D57" s="12"/>
      <c r="E57" s="10">
        <f>SUM(E25:E56)</f>
        <v>683.18087357800016</v>
      </c>
      <c r="F57" s="9"/>
      <c r="G57" s="10">
        <f>SUM(G25:G56)</f>
        <v>1427.2387423840003</v>
      </c>
      <c r="H57" s="44"/>
      <c r="J57" s="186"/>
      <c r="K57" s="186"/>
      <c r="L57" s="186"/>
      <c r="M57" s="142"/>
    </row>
    <row r="58" spans="1:13">
      <c r="A58" s="42"/>
      <c r="B58" s="12" t="s">
        <v>94</v>
      </c>
      <c r="C58" s="54">
        <v>75</v>
      </c>
      <c r="D58" s="8"/>
      <c r="E58" s="9">
        <f>IF(J7&lt;17.5,C58/2*J7/17.5,C58*50%)</f>
        <v>37.5</v>
      </c>
      <c r="F58" s="9"/>
      <c r="G58" s="10"/>
      <c r="H58" s="31"/>
      <c r="J58" s="184" t="s">
        <v>95</v>
      </c>
      <c r="K58" s="184"/>
      <c r="L58" s="184"/>
      <c r="M58" s="143">
        <f>SUM(M49:M57)</f>
        <v>4426.9787423840007</v>
      </c>
    </row>
    <row r="59" spans="1:13">
      <c r="A59" s="42"/>
      <c r="B59" s="12" t="s">
        <v>96</v>
      </c>
      <c r="C59" s="54">
        <v>127.5</v>
      </c>
      <c r="D59" s="55">
        <v>0.4</v>
      </c>
      <c r="E59" s="11">
        <f>-C59*D59</f>
        <v>-51</v>
      </c>
      <c r="F59" s="56">
        <v>0.6</v>
      </c>
      <c r="G59" s="12">
        <f>C59*F59</f>
        <v>76.5</v>
      </c>
      <c r="H59" s="31"/>
    </row>
    <row r="60" spans="1:13" ht="15">
      <c r="B60" s="63" t="s">
        <v>120</v>
      </c>
      <c r="C60" s="158">
        <f>D64-E57</f>
        <v>2202.5591264220006</v>
      </c>
      <c r="D60" s="42"/>
      <c r="E60" s="42"/>
      <c r="F60" s="42"/>
      <c r="G60" s="42"/>
      <c r="H60" s="31"/>
    </row>
    <row r="61" spans="1:13" ht="15">
      <c r="B61" s="63" t="s">
        <v>121</v>
      </c>
      <c r="C61" s="158">
        <f>D64-E57+E52+G28</f>
        <v>2305.6330401680007</v>
      </c>
      <c r="D61" s="42"/>
      <c r="E61" s="42"/>
      <c r="F61" s="42"/>
      <c r="G61" s="42"/>
      <c r="H61" s="31"/>
    </row>
    <row r="62" spans="1:13">
      <c r="A62" s="42"/>
      <c r="B62" s="42"/>
      <c r="C62" s="46"/>
      <c r="D62" s="42"/>
      <c r="E62" s="42"/>
      <c r="F62" s="42"/>
      <c r="G62" s="42"/>
      <c r="H62" s="31"/>
    </row>
    <row r="63" spans="1:13" ht="38.25">
      <c r="B63" s="47"/>
      <c r="C63" s="45" t="s">
        <v>99</v>
      </c>
      <c r="D63" s="144" t="s">
        <v>100</v>
      </c>
      <c r="E63" s="145" t="s">
        <v>101</v>
      </c>
      <c r="F63" s="146" t="s">
        <v>102</v>
      </c>
      <c r="G63" s="147" t="s">
        <v>103</v>
      </c>
      <c r="H63" s="31"/>
    </row>
    <row r="64" spans="1:13">
      <c r="A64" s="31"/>
      <c r="B64" s="47"/>
      <c r="C64" s="48"/>
      <c r="D64" s="148">
        <f>L19</f>
        <v>2885.7400000000007</v>
      </c>
      <c r="E64" s="149">
        <f>D64-E57+E58+E59</f>
        <v>2189.0591264220006</v>
      </c>
      <c r="F64" s="148">
        <f>G57</f>
        <v>1427.2387423840003</v>
      </c>
      <c r="G64" s="149">
        <f>F64+D64+E58+G59</f>
        <v>4426.9787423840007</v>
      </c>
      <c r="H64" s="31"/>
    </row>
    <row r="65" spans="1:8">
      <c r="A65" s="31"/>
      <c r="B65" s="31"/>
      <c r="C65" s="32"/>
      <c r="D65" s="31"/>
      <c r="E65" s="31"/>
      <c r="F65" s="31"/>
      <c r="G65" s="31"/>
      <c r="H65" s="31"/>
    </row>
    <row r="66" spans="1:8">
      <c r="A66" s="31"/>
      <c r="B66" s="31"/>
      <c r="C66" s="32"/>
      <c r="D66" s="31"/>
      <c r="E66" s="31"/>
      <c r="F66" s="31"/>
      <c r="G66" s="31"/>
      <c r="H66" s="31"/>
    </row>
    <row r="67" spans="1:8" ht="15.75">
      <c r="B67" s="150" t="s">
        <v>104</v>
      </c>
      <c r="C67" s="151"/>
      <c r="D67" s="31"/>
      <c r="E67" s="49"/>
      <c r="F67" s="31"/>
      <c r="G67" s="31"/>
      <c r="H67" s="31"/>
    </row>
    <row r="68" spans="1:8">
      <c r="B68" s="152" t="s">
        <v>3</v>
      </c>
      <c r="C68" s="153">
        <f>PMSS</f>
        <v>3925</v>
      </c>
      <c r="D68" s="31"/>
      <c r="E68" s="31"/>
      <c r="F68" s="31"/>
      <c r="G68" s="31"/>
      <c r="H68" s="31"/>
    </row>
    <row r="69" spans="1:8">
      <c r="B69" s="154" t="s">
        <v>105</v>
      </c>
      <c r="C69" s="155">
        <v>1</v>
      </c>
    </row>
    <row r="70" spans="1:8">
      <c r="B70" s="154" t="s">
        <v>106</v>
      </c>
      <c r="C70" s="155">
        <f>IF(D64&lt;=C68*C69,D64,C68*C69)</f>
        <v>2885.7400000000007</v>
      </c>
    </row>
    <row r="71" spans="1:8">
      <c r="B71" s="154" t="s">
        <v>107</v>
      </c>
      <c r="C71" s="155">
        <f>IF(D64&lt;=C68*4*C69,D64-C68*C69,C68*4*C69)</f>
        <v>-1039.2599999999993</v>
      </c>
    </row>
    <row r="72" spans="1:8">
      <c r="B72" s="154" t="s">
        <v>108</v>
      </c>
      <c r="C72" s="155">
        <f>IF(D64&lt;=C68*8*C69,D64-C68*C69,C68*8*C69)</f>
        <v>-1039.2599999999993</v>
      </c>
    </row>
    <row r="73" spans="1:8">
      <c r="B73" s="154" t="s">
        <v>109</v>
      </c>
      <c r="C73" s="155">
        <f>IF(D64&lt;=C68*4*C69,D64,C68*4*C69)</f>
        <v>2885.7400000000007</v>
      </c>
    </row>
    <row r="74" spans="1:8">
      <c r="B74" s="154" t="s">
        <v>110</v>
      </c>
      <c r="C74" s="155">
        <f>IF(D64&lt;=C68*8*C69,D64-C68*C69,C68*8*C69)</f>
        <v>-1039.2599999999993</v>
      </c>
    </row>
    <row r="75" spans="1:8">
      <c r="B75" s="154" t="s">
        <v>111</v>
      </c>
      <c r="C75" s="155">
        <f>IF(D64&lt;=C68*8*C69,D64,C68*8*C69)</f>
        <v>2885.7400000000007</v>
      </c>
    </row>
    <row r="76" spans="1:8">
      <c r="B76" s="154"/>
      <c r="C76" s="156"/>
    </row>
    <row r="77" spans="1:8">
      <c r="B77" s="154" t="s">
        <v>122</v>
      </c>
      <c r="C77" s="156">
        <f>ROUND(Paramètre_T_coef_fillon___50_ETP*((1.6*151.67*Smic_horaire*J7/218/D64)-1),3)</f>
        <v>-0.01</v>
      </c>
    </row>
    <row r="78" spans="1:8">
      <c r="B78" s="154" t="s">
        <v>113</v>
      </c>
      <c r="C78" s="157">
        <f>ROUND(Paramètre_T_coeff_fillon_50_et*((1.6*151.67*Smic_horaire*J7/218/D64)-1),3)</f>
        <v>-0.01</v>
      </c>
    </row>
  </sheetData>
  <sheetProtection sheet="1" objects="1" scenarios="1"/>
  <mergeCells count="29">
    <mergeCell ref="A1:A14"/>
    <mergeCell ref="B1:N1"/>
    <mergeCell ref="B4:M4"/>
    <mergeCell ref="B5:M5"/>
    <mergeCell ref="C7:E7"/>
    <mergeCell ref="J7:K7"/>
    <mergeCell ref="D8:E8"/>
    <mergeCell ref="H8:I8"/>
    <mergeCell ref="G9:I9"/>
    <mergeCell ref="L9:M9"/>
    <mergeCell ref="F7:I7"/>
    <mergeCell ref="J52:L52"/>
    <mergeCell ref="H10:I10"/>
    <mergeCell ref="L10:M10"/>
    <mergeCell ref="C19:J19"/>
    <mergeCell ref="J20:M20"/>
    <mergeCell ref="D23:E23"/>
    <mergeCell ref="F23:G23"/>
    <mergeCell ref="J46:M46"/>
    <mergeCell ref="J47:L47"/>
    <mergeCell ref="J49:L49"/>
    <mergeCell ref="J50:L50"/>
    <mergeCell ref="J51:L51"/>
    <mergeCell ref="M53:M54"/>
    <mergeCell ref="J55:L55"/>
    <mergeCell ref="J56:L56"/>
    <mergeCell ref="J57:L57"/>
    <mergeCell ref="J58:L58"/>
    <mergeCell ref="J53:L54"/>
  </mergeCells>
  <dataValidations count="3">
    <dataValidation type="list" allowBlank="1" showInputMessage="1" showErrorMessage="1" sqref="C6" xr:uid="{A960747A-F0E8-4611-A8AA-A04043029415}">
      <formula1>"0,1,2,3,4,5,6,7,8,9,10,11,12,13,14,15,16,17,18,19,20,21,22,23,24,25,26,27,28,29,30"</formula1>
    </dataValidation>
    <dataValidation type="list" allowBlank="1" showInputMessage="1" showErrorMessage="1" sqref="D8:E8" xr:uid="{A6E979A1-2BDC-4214-AF64-138A09DE0AAD}">
      <formula1>"G,H,I,J"</formula1>
    </dataValidation>
    <dataValidation type="list" allowBlank="1" showInputMessage="1" showErrorMessage="1" sqref="C3" xr:uid="{5B9BCBF5-5FF7-4A17-A944-E9F958CBF93B}">
      <formula1>"OUI,NON"</formula1>
    </dataValidation>
  </dataValidations>
  <pageMargins left="0.70866141732283472" right="0.70866141732283472" top="0.74803149606299213" bottom="0.74803149606299213" header="0.31496062992125984" footer="0.31496062992125984"/>
  <pageSetup paperSize="9" scale="75" orientation="landscape" r:id="rId1"/>
  <colBreaks count="1" manualBreakCount="1">
    <brk id="14"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51F66-034D-43E0-895D-3F3C4591A8EE}">
  <dimension ref="A1:P78"/>
  <sheetViews>
    <sheetView topLeftCell="A10" zoomScale="80" zoomScaleNormal="80" workbookViewId="0">
      <selection activeCell="J30" sqref="J30"/>
    </sheetView>
  </sheetViews>
  <sheetFormatPr baseColWidth="10" defaultColWidth="9.33203125" defaultRowHeight="12.75"/>
  <cols>
    <col min="1" max="1" width="10.6640625" style="16" customWidth="1"/>
    <col min="2" max="2" width="51.1640625" style="16" customWidth="1"/>
    <col min="3" max="3" width="13.6640625" style="50" bestFit="1" customWidth="1"/>
    <col min="4" max="4" width="18.1640625" style="16" customWidth="1"/>
    <col min="5" max="5" width="13.5" style="16" customWidth="1"/>
    <col min="6" max="6" width="10.83203125" style="16" customWidth="1"/>
    <col min="7" max="7" width="10.6640625" style="16" bestFit="1" customWidth="1"/>
    <col min="8" max="8" width="14" style="16" customWidth="1"/>
    <col min="9" max="9" width="9" style="16" customWidth="1"/>
    <col min="10" max="10" width="10.33203125" style="16" customWidth="1"/>
    <col min="11" max="11" width="9" style="16" customWidth="1"/>
    <col min="12" max="12" width="22.83203125" style="16" customWidth="1"/>
    <col min="13" max="13" width="11.83203125" style="16" bestFit="1" customWidth="1"/>
    <col min="14" max="14" width="8.33203125" style="16" customWidth="1"/>
    <col min="15" max="15" width="9.33203125" style="16"/>
    <col min="16" max="16" width="12.5" style="16" customWidth="1"/>
    <col min="17" max="16384" width="9.33203125" style="16"/>
  </cols>
  <sheetData>
    <row r="1" spans="1:16" ht="53.25" customHeight="1" thickBot="1">
      <c r="A1" s="193"/>
      <c r="B1" s="195" t="s">
        <v>141</v>
      </c>
      <c r="C1" s="195"/>
      <c r="D1" s="195"/>
      <c r="E1" s="195"/>
      <c r="F1" s="195"/>
      <c r="G1" s="195"/>
      <c r="H1" s="195"/>
      <c r="I1" s="195"/>
      <c r="J1" s="195"/>
      <c r="K1" s="195"/>
      <c r="L1" s="195"/>
      <c r="M1" s="195"/>
      <c r="N1" s="196"/>
      <c r="O1" s="14"/>
      <c r="P1" s="15"/>
    </row>
    <row r="2" spans="1:16" ht="35.450000000000003" customHeight="1" thickBot="1">
      <c r="A2" s="193"/>
      <c r="B2" s="77" t="s">
        <v>18</v>
      </c>
      <c r="C2" s="71">
        <v>10</v>
      </c>
      <c r="D2" s="13"/>
      <c r="E2" s="13"/>
      <c r="F2" s="13"/>
      <c r="G2" s="13"/>
      <c r="H2" s="13"/>
      <c r="I2" s="13"/>
      <c r="J2" s="13"/>
      <c r="K2" s="13"/>
      <c r="L2" s="13"/>
      <c r="M2" s="13"/>
      <c r="N2" s="13"/>
      <c r="O2" s="17"/>
      <c r="P2" s="15"/>
    </row>
    <row r="3" spans="1:16" ht="35.450000000000003" customHeight="1" thickBot="1">
      <c r="A3" s="193"/>
      <c r="B3" s="76" t="s">
        <v>114</v>
      </c>
      <c r="C3" s="72" t="s">
        <v>20</v>
      </c>
      <c r="D3" s="13"/>
      <c r="E3" s="13"/>
      <c r="F3" s="13"/>
      <c r="G3" s="13"/>
      <c r="H3" s="13"/>
      <c r="I3" s="13"/>
      <c r="J3" s="13"/>
      <c r="K3" s="13"/>
      <c r="L3" s="13"/>
      <c r="M3" s="13"/>
      <c r="N3" s="13"/>
      <c r="O3" s="17"/>
      <c r="P3" s="15"/>
    </row>
    <row r="4" spans="1:16" ht="30.6" customHeight="1" thickTop="1" thickBot="1">
      <c r="A4" s="193"/>
      <c r="B4" s="200" t="s">
        <v>21</v>
      </c>
      <c r="C4" s="201"/>
      <c r="D4" s="219"/>
      <c r="E4" s="219"/>
      <c r="F4" s="219"/>
      <c r="G4" s="219"/>
      <c r="H4" s="219"/>
      <c r="I4" s="219"/>
      <c r="J4" s="219"/>
      <c r="K4" s="219"/>
      <c r="L4" s="219"/>
      <c r="M4" s="220"/>
      <c r="N4" s="13"/>
      <c r="O4" s="17"/>
    </row>
    <row r="5" spans="1:16" ht="35.65" customHeight="1" thickTop="1" thickBot="1">
      <c r="A5" s="193"/>
      <c r="B5" s="221"/>
      <c r="C5" s="219"/>
      <c r="D5" s="219"/>
      <c r="E5" s="219"/>
      <c r="F5" s="219"/>
      <c r="G5" s="219"/>
      <c r="H5" s="219"/>
      <c r="I5" s="219"/>
      <c r="J5" s="219"/>
      <c r="K5" s="219"/>
      <c r="L5" s="219"/>
      <c r="M5" s="220"/>
      <c r="N5" s="18"/>
      <c r="O5" s="19"/>
    </row>
    <row r="6" spans="1:16" ht="43.15" customHeight="1" thickBot="1">
      <c r="A6" s="193"/>
      <c r="B6" s="57" t="s">
        <v>22</v>
      </c>
      <c r="C6" s="64">
        <v>2</v>
      </c>
      <c r="D6" s="58"/>
      <c r="E6" s="58"/>
      <c r="F6" s="222" t="s">
        <v>125</v>
      </c>
      <c r="G6" s="222"/>
      <c r="H6" s="222"/>
      <c r="I6" s="228"/>
      <c r="J6" s="226">
        <v>214</v>
      </c>
      <c r="K6" s="227"/>
      <c r="L6" s="58"/>
      <c r="M6" s="59"/>
      <c r="N6" s="18"/>
      <c r="O6" s="19"/>
    </row>
    <row r="7" spans="1:16" ht="30" customHeight="1" thickBot="1">
      <c r="A7" s="193"/>
      <c r="B7" s="20" t="s">
        <v>23</v>
      </c>
      <c r="C7" s="201"/>
      <c r="D7" s="201"/>
      <c r="E7" s="201"/>
      <c r="F7" s="222" t="s">
        <v>126</v>
      </c>
      <c r="G7" s="222"/>
      <c r="H7" s="222"/>
      <c r="I7" s="228"/>
      <c r="J7" s="224">
        <v>200</v>
      </c>
      <c r="K7" s="225"/>
      <c r="L7" s="21"/>
      <c r="M7" s="22"/>
      <c r="N7" s="19"/>
      <c r="O7" s="19"/>
      <c r="P7" s="23"/>
    </row>
    <row r="8" spans="1:16" ht="25.15" customHeight="1" thickBot="1">
      <c r="A8" s="193"/>
      <c r="B8" s="20" t="s">
        <v>26</v>
      </c>
      <c r="C8" s="24"/>
      <c r="D8" s="205" t="s">
        <v>115</v>
      </c>
      <c r="E8" s="206"/>
      <c r="F8" s="21" t="s">
        <v>28</v>
      </c>
      <c r="G8" s="21"/>
      <c r="H8" s="207">
        <v>375</v>
      </c>
      <c r="I8" s="208"/>
      <c r="J8" s="21"/>
      <c r="M8" s="22"/>
      <c r="N8" s="19"/>
      <c r="O8" s="19"/>
    </row>
    <row r="9" spans="1:16" ht="18.75" customHeight="1">
      <c r="A9" s="193"/>
      <c r="B9" s="84" t="s">
        <v>29</v>
      </c>
      <c r="C9" s="162">
        <f>Valeur_de_point_V1</f>
        <v>7.15</v>
      </c>
      <c r="G9" s="209" t="s">
        <v>127</v>
      </c>
      <c r="H9" s="210"/>
      <c r="I9" s="211"/>
      <c r="J9" s="19"/>
      <c r="K9" s="85"/>
      <c r="L9" s="212" t="s">
        <v>31</v>
      </c>
      <c r="M9" s="213"/>
      <c r="N9" s="19"/>
      <c r="O9" s="19"/>
    </row>
    <row r="10" spans="1:16" ht="18.75" customHeight="1" thickBot="1">
      <c r="A10" s="193"/>
      <c r="B10" s="86" t="s">
        <v>32</v>
      </c>
      <c r="C10" s="163">
        <f>Valeur_de_point_V2</f>
        <v>6.73</v>
      </c>
      <c r="G10" s="87"/>
      <c r="H10" s="214"/>
      <c r="I10" s="215"/>
      <c r="J10" s="19"/>
      <c r="K10" s="88"/>
      <c r="L10" s="214"/>
      <c r="M10" s="216"/>
      <c r="N10" s="19"/>
      <c r="O10" s="19"/>
    </row>
    <row r="11" spans="1:16" ht="29.25" customHeight="1" thickBot="1">
      <c r="A11" s="193"/>
      <c r="B11" s="89" t="s">
        <v>33</v>
      </c>
      <c r="C11" s="116">
        <f>Paramètres!F5</f>
        <v>257</v>
      </c>
      <c r="D11" s="90" t="s">
        <v>34</v>
      </c>
      <c r="E11" s="91" t="s">
        <v>35</v>
      </c>
      <c r="F11" s="118">
        <f>C9</f>
        <v>7.15</v>
      </c>
      <c r="G11" s="167" t="s">
        <v>35</v>
      </c>
      <c r="H11" s="176">
        <f>$J$7</f>
        <v>200</v>
      </c>
      <c r="I11" s="121" t="s">
        <v>36</v>
      </c>
      <c r="J11" s="122">
        <f>$J$6</f>
        <v>214</v>
      </c>
      <c r="K11" s="123"/>
      <c r="L11" s="124">
        <f>C11*F11*J7/J6</f>
        <v>1717.336448598131</v>
      </c>
      <c r="M11" s="125" t="s">
        <v>37</v>
      </c>
      <c r="O11" s="19"/>
    </row>
    <row r="12" spans="1:16" ht="32.1" customHeight="1" thickBot="1">
      <c r="A12" s="193"/>
      <c r="B12" s="96" t="s">
        <v>38</v>
      </c>
      <c r="C12" s="117">
        <f>H8-C11</f>
        <v>118</v>
      </c>
      <c r="D12" s="97" t="s">
        <v>39</v>
      </c>
      <c r="E12" s="98" t="s">
        <v>35</v>
      </c>
      <c r="F12" s="126">
        <f>C10</f>
        <v>6.73</v>
      </c>
      <c r="G12" s="167" t="s">
        <v>35</v>
      </c>
      <c r="H12" s="176">
        <f t="shared" ref="H12:H18" si="0">$J$7</f>
        <v>200</v>
      </c>
      <c r="I12" s="121" t="s">
        <v>36</v>
      </c>
      <c r="J12" s="122">
        <f t="shared" ref="J12:J18" si="1">$J$6</f>
        <v>214</v>
      </c>
      <c r="K12" s="127" t="s">
        <v>38</v>
      </c>
      <c r="L12" s="124">
        <f>C12*F12*J7/J6</f>
        <v>742.18691588785066</v>
      </c>
      <c r="M12" s="128" t="s">
        <v>40</v>
      </c>
    </row>
    <row r="13" spans="1:16" ht="32.1" customHeight="1" thickBot="1">
      <c r="A13" s="193"/>
      <c r="B13" s="100" t="s">
        <v>41</v>
      </c>
      <c r="C13" s="1"/>
      <c r="D13" s="101" t="s">
        <v>42</v>
      </c>
      <c r="E13" s="98" t="s">
        <v>35</v>
      </c>
      <c r="F13" s="126">
        <f>C10</f>
        <v>6.73</v>
      </c>
      <c r="G13" s="167" t="s">
        <v>35</v>
      </c>
      <c r="H13" s="176">
        <f t="shared" si="0"/>
        <v>200</v>
      </c>
      <c r="I13" s="121" t="s">
        <v>36</v>
      </c>
      <c r="J13" s="122">
        <f t="shared" si="1"/>
        <v>214</v>
      </c>
      <c r="K13" s="129" t="s">
        <v>38</v>
      </c>
      <c r="L13" s="124">
        <f>C13*F13*J7/J6</f>
        <v>0</v>
      </c>
      <c r="M13" s="128" t="s">
        <v>40</v>
      </c>
    </row>
    <row r="14" spans="1:16" ht="32.1" customHeight="1" thickBot="1">
      <c r="A14" s="194"/>
      <c r="B14" s="100" t="s">
        <v>43</v>
      </c>
      <c r="C14" s="2">
        <f>+(C6)*2</f>
        <v>4</v>
      </c>
      <c r="D14" s="101" t="s">
        <v>42</v>
      </c>
      <c r="E14" s="98" t="s">
        <v>35</v>
      </c>
      <c r="F14" s="126">
        <f>C9</f>
        <v>7.15</v>
      </c>
      <c r="G14" s="167" t="s">
        <v>35</v>
      </c>
      <c r="H14" s="176">
        <f t="shared" si="0"/>
        <v>200</v>
      </c>
      <c r="I14" s="121" t="s">
        <v>36</v>
      </c>
      <c r="J14" s="122">
        <f t="shared" si="1"/>
        <v>214</v>
      </c>
      <c r="K14" s="129" t="s">
        <v>38</v>
      </c>
      <c r="L14" s="124">
        <f>C14*F14*J7/J6</f>
        <v>26.728971962616821</v>
      </c>
      <c r="M14" s="128" t="s">
        <v>40</v>
      </c>
    </row>
    <row r="15" spans="1:16" ht="32.1" customHeight="1" thickBot="1">
      <c r="A15" s="25"/>
      <c r="B15" s="100" t="s">
        <v>45</v>
      </c>
      <c r="C15" s="1"/>
      <c r="D15" s="101" t="s">
        <v>42</v>
      </c>
      <c r="E15" s="98" t="s">
        <v>35</v>
      </c>
      <c r="F15" s="126">
        <f>C10</f>
        <v>6.73</v>
      </c>
      <c r="G15" s="167" t="s">
        <v>35</v>
      </c>
      <c r="H15" s="176">
        <f t="shared" si="0"/>
        <v>200</v>
      </c>
      <c r="I15" s="121" t="s">
        <v>36</v>
      </c>
      <c r="J15" s="122">
        <f t="shared" si="1"/>
        <v>214</v>
      </c>
      <c r="K15" s="129" t="s">
        <v>38</v>
      </c>
      <c r="L15" s="124">
        <f>C15*F15*J7/J6</f>
        <v>0</v>
      </c>
      <c r="M15" s="128" t="s">
        <v>40</v>
      </c>
    </row>
    <row r="16" spans="1:16" ht="32.1" customHeight="1" thickBot="1">
      <c r="A16" s="25"/>
      <c r="B16" s="100" t="s">
        <v>46</v>
      </c>
      <c r="C16" s="1"/>
      <c r="D16" s="101" t="s">
        <v>42</v>
      </c>
      <c r="E16" s="98" t="s">
        <v>35</v>
      </c>
      <c r="F16" s="126">
        <f>C10</f>
        <v>6.73</v>
      </c>
      <c r="G16" s="167" t="s">
        <v>35</v>
      </c>
      <c r="H16" s="176">
        <f t="shared" si="0"/>
        <v>200</v>
      </c>
      <c r="I16" s="131" t="s">
        <v>36</v>
      </c>
      <c r="J16" s="122">
        <f t="shared" si="1"/>
        <v>214</v>
      </c>
      <c r="K16" s="129" t="s">
        <v>38</v>
      </c>
      <c r="L16" s="124">
        <f>C16*F16*J7/J6</f>
        <v>0</v>
      </c>
      <c r="M16" s="128" t="s">
        <v>40</v>
      </c>
    </row>
    <row r="17" spans="1:14" ht="32.1" customHeight="1" thickBot="1">
      <c r="A17" s="26"/>
      <c r="B17" s="100" t="s">
        <v>48</v>
      </c>
      <c r="C17" s="1"/>
      <c r="D17" s="101"/>
      <c r="E17" s="98"/>
      <c r="F17" s="3"/>
      <c r="G17" s="91"/>
      <c r="H17" s="92"/>
      <c r="I17" s="103"/>
      <c r="J17" s="93"/>
      <c r="K17" s="106" t="s">
        <v>38</v>
      </c>
      <c r="L17" s="94">
        <f>C17</f>
        <v>0</v>
      </c>
      <c r="M17" s="108"/>
    </row>
    <row r="18" spans="1:14" ht="31.5" customHeight="1" thickBot="1">
      <c r="A18" s="26"/>
      <c r="B18" s="109" t="s">
        <v>49</v>
      </c>
      <c r="C18" s="1"/>
      <c r="D18" s="101" t="s">
        <v>42</v>
      </c>
      <c r="E18" s="98" t="s">
        <v>35</v>
      </c>
      <c r="F18" s="3">
        <f>C10</f>
        <v>6.73</v>
      </c>
      <c r="G18" s="91" t="s">
        <v>35</v>
      </c>
      <c r="H18" s="177">
        <f t="shared" si="0"/>
        <v>200</v>
      </c>
      <c r="I18" s="103" t="s">
        <v>36</v>
      </c>
      <c r="J18" s="93">
        <f t="shared" si="1"/>
        <v>214</v>
      </c>
      <c r="K18" s="106" t="s">
        <v>38</v>
      </c>
      <c r="L18" s="94">
        <f>C18*F18*J7/J6</f>
        <v>0</v>
      </c>
      <c r="M18" s="108" t="s">
        <v>40</v>
      </c>
    </row>
    <row r="19" spans="1:14" ht="30" customHeight="1" thickBot="1">
      <c r="A19" s="26"/>
      <c r="B19" s="111" t="s">
        <v>50</v>
      </c>
      <c r="C19" s="189"/>
      <c r="D19" s="189"/>
      <c r="E19" s="189"/>
      <c r="F19" s="189"/>
      <c r="G19" s="190"/>
      <c r="H19" s="190"/>
      <c r="I19" s="190"/>
      <c r="J19" s="191"/>
      <c r="K19" s="112" t="s">
        <v>51</v>
      </c>
      <c r="L19" s="137">
        <f>SUM(L11:L18)</f>
        <v>2486.2523364485987</v>
      </c>
      <c r="M19" s="113" t="s">
        <v>40</v>
      </c>
    </row>
    <row r="20" spans="1:14" ht="40.15" customHeight="1" thickTop="1">
      <c r="A20" s="27"/>
      <c r="B20" s="28"/>
      <c r="C20" s="29"/>
      <c r="D20" s="29"/>
      <c r="E20" s="29"/>
      <c r="F20" s="29"/>
      <c r="G20" s="29"/>
      <c r="H20" s="29"/>
      <c r="I20" s="29"/>
      <c r="J20" s="192" t="s">
        <v>52</v>
      </c>
      <c r="K20" s="192"/>
      <c r="L20" s="192"/>
      <c r="M20" s="192"/>
      <c r="N20" s="30"/>
    </row>
    <row r="22" spans="1:14">
      <c r="A22" s="31"/>
      <c r="B22" s="31"/>
      <c r="C22" s="32"/>
      <c r="D22" s="31"/>
      <c r="E22" s="31"/>
      <c r="F22" s="31"/>
      <c r="G22" s="31"/>
      <c r="H22" s="31"/>
    </row>
    <row r="23" spans="1:14">
      <c r="A23" s="33"/>
      <c r="B23" s="34" t="s">
        <v>53</v>
      </c>
      <c r="C23" s="7" t="s">
        <v>54</v>
      </c>
      <c r="D23" s="182" t="s">
        <v>55</v>
      </c>
      <c r="E23" s="183"/>
      <c r="F23" s="182" t="s">
        <v>56</v>
      </c>
      <c r="G23" s="183"/>
      <c r="H23" s="31"/>
    </row>
    <row r="24" spans="1:14">
      <c r="A24" s="31"/>
      <c r="B24" s="33"/>
      <c r="C24" s="32"/>
      <c r="D24" s="33" t="s">
        <v>57</v>
      </c>
      <c r="E24" s="33" t="s">
        <v>58</v>
      </c>
      <c r="F24" s="33" t="s">
        <v>57</v>
      </c>
      <c r="G24" s="33" t="s">
        <v>58</v>
      </c>
      <c r="H24" s="31"/>
    </row>
    <row r="25" spans="1:14">
      <c r="A25" s="31"/>
      <c r="B25" s="35" t="s">
        <v>59</v>
      </c>
      <c r="C25" s="138">
        <f>$D$64</f>
        <v>2486.2523364485987</v>
      </c>
      <c r="D25" s="139">
        <f>IF(C3="OUI",Paramètres!C20,0)</f>
        <v>0</v>
      </c>
      <c r="E25" s="140">
        <f>D25*C25/100</f>
        <v>0</v>
      </c>
      <c r="F25" s="139">
        <f>IF($D$64&lt;(Smic_horaire*2.4721*151.67*J7/218),7,13)</f>
        <v>7</v>
      </c>
      <c r="G25" s="140">
        <f t="shared" ref="G25:G43" si="2">F25*C25/100</f>
        <v>174.03766355140192</v>
      </c>
      <c r="H25" s="31"/>
    </row>
    <row r="26" spans="1:14">
      <c r="A26" s="33"/>
      <c r="B26" s="35" t="s">
        <v>116</v>
      </c>
      <c r="C26" s="36">
        <f>IF($D$64&gt;C70,C70,D64)</f>
        <v>2486.2523364485987</v>
      </c>
      <c r="D26" s="5">
        <v>0.01</v>
      </c>
      <c r="E26" s="6">
        <f>D26*C26/100</f>
        <v>0.24862523364485989</v>
      </c>
      <c r="F26" s="5">
        <v>1.53</v>
      </c>
      <c r="G26" s="6">
        <f t="shared" si="2"/>
        <v>38.039660747663561</v>
      </c>
      <c r="H26" s="31"/>
    </row>
    <row r="27" spans="1:14">
      <c r="A27" s="33"/>
      <c r="B27" s="35" t="s">
        <v>117</v>
      </c>
      <c r="C27" s="4">
        <f>IF(D64&gt;C70,D64-C70,0)</f>
        <v>0</v>
      </c>
      <c r="D27" s="5">
        <v>0.56999999999999995</v>
      </c>
      <c r="E27" s="6">
        <f>C27*D27/100</f>
        <v>0</v>
      </c>
      <c r="F27" s="5">
        <v>0.56999999999999995</v>
      </c>
      <c r="G27" s="6">
        <f>C27*F27/100</f>
        <v>0</v>
      </c>
      <c r="H27" s="31"/>
    </row>
    <row r="28" spans="1:14">
      <c r="A28" s="33"/>
      <c r="B28" s="35" t="s">
        <v>61</v>
      </c>
      <c r="C28" s="51">
        <f>PMSS</f>
        <v>3925</v>
      </c>
      <c r="D28" s="52">
        <f>0.97/2</f>
        <v>0.48499999999999999</v>
      </c>
      <c r="E28" s="53">
        <f t="shared" ref="E28:E36" si="3">D28*C28/100</f>
        <v>19.036249999999999</v>
      </c>
      <c r="F28" s="52">
        <f>0.97/2</f>
        <v>0.48499999999999999</v>
      </c>
      <c r="G28" s="53">
        <f t="shared" si="2"/>
        <v>19.036249999999999</v>
      </c>
      <c r="H28" s="31"/>
    </row>
    <row r="29" spans="1:14">
      <c r="A29" s="33"/>
      <c r="B29" s="35" t="s">
        <v>62</v>
      </c>
      <c r="C29" s="36">
        <f>$D$64</f>
        <v>2486.2523364485987</v>
      </c>
      <c r="D29" s="5">
        <v>0</v>
      </c>
      <c r="E29" s="6">
        <f t="shared" si="3"/>
        <v>0</v>
      </c>
      <c r="F29" s="52">
        <v>1.3</v>
      </c>
      <c r="G29" s="6">
        <f t="shared" si="2"/>
        <v>32.321280373831783</v>
      </c>
      <c r="H29" s="31"/>
    </row>
    <row r="30" spans="1:14">
      <c r="A30" s="33"/>
      <c r="B30" s="35" t="s">
        <v>63</v>
      </c>
      <c r="C30" s="138">
        <f>C70</f>
        <v>2486.2523364485987</v>
      </c>
      <c r="D30" s="139">
        <v>6.9</v>
      </c>
      <c r="E30" s="140">
        <f t="shared" si="3"/>
        <v>171.55141121495333</v>
      </c>
      <c r="F30" s="139">
        <v>8.5500000000000007</v>
      </c>
      <c r="G30" s="140">
        <f t="shared" si="2"/>
        <v>212.57457476635523</v>
      </c>
      <c r="H30" s="31"/>
    </row>
    <row r="31" spans="1:14">
      <c r="A31" s="31"/>
      <c r="B31" s="35" t="s">
        <v>64</v>
      </c>
      <c r="C31" s="138">
        <f>$D$64</f>
        <v>2486.2523364485987</v>
      </c>
      <c r="D31" s="139">
        <v>0.4</v>
      </c>
      <c r="E31" s="140">
        <f t="shared" si="3"/>
        <v>9.9450093457943964</v>
      </c>
      <c r="F31" s="139">
        <v>2.02</v>
      </c>
      <c r="G31" s="140">
        <f t="shared" si="2"/>
        <v>50.2222971962617</v>
      </c>
      <c r="H31" s="31"/>
    </row>
    <row r="32" spans="1:14">
      <c r="A32" s="37"/>
      <c r="B32" s="35" t="s">
        <v>65</v>
      </c>
      <c r="C32" s="36">
        <f>C70</f>
        <v>2486.2523364485987</v>
      </c>
      <c r="D32" s="52">
        <v>5.08</v>
      </c>
      <c r="E32" s="6">
        <f t="shared" si="3"/>
        <v>126.30161869158881</v>
      </c>
      <c r="F32" s="52">
        <v>5.08</v>
      </c>
      <c r="G32" s="6">
        <f t="shared" si="2"/>
        <v>126.30161869158881</v>
      </c>
      <c r="H32" s="31"/>
    </row>
    <row r="33" spans="1:13">
      <c r="A33" s="31"/>
      <c r="B33" s="35" t="s">
        <v>66</v>
      </c>
      <c r="C33" s="138">
        <f>MAX(C72,0)</f>
        <v>0</v>
      </c>
      <c r="D33" s="139">
        <v>8.64</v>
      </c>
      <c r="E33" s="140">
        <f t="shared" si="3"/>
        <v>0</v>
      </c>
      <c r="F33" s="139">
        <v>12.95</v>
      </c>
      <c r="G33" s="140">
        <f t="shared" si="2"/>
        <v>0</v>
      </c>
      <c r="H33" s="31"/>
    </row>
    <row r="34" spans="1:13">
      <c r="A34" s="33"/>
      <c r="B34" s="35" t="s">
        <v>67</v>
      </c>
      <c r="C34" s="138">
        <f>C70</f>
        <v>2486.2523364485987</v>
      </c>
      <c r="D34" s="139">
        <v>0.86</v>
      </c>
      <c r="E34" s="140">
        <f t="shared" si="3"/>
        <v>21.381770093457948</v>
      </c>
      <c r="F34" s="139">
        <v>1.29</v>
      </c>
      <c r="G34" s="140">
        <f t="shared" si="2"/>
        <v>32.072655140186924</v>
      </c>
      <c r="H34" s="31"/>
    </row>
    <row r="35" spans="1:13">
      <c r="A35" s="31"/>
      <c r="B35" s="35" t="s">
        <v>68</v>
      </c>
      <c r="C35" s="138">
        <f>MAX(C72,0)</f>
        <v>0</v>
      </c>
      <c r="D35" s="139">
        <v>1.08</v>
      </c>
      <c r="E35" s="140">
        <f t="shared" si="3"/>
        <v>0</v>
      </c>
      <c r="F35" s="139">
        <v>1.62</v>
      </c>
      <c r="G35" s="140">
        <f t="shared" si="2"/>
        <v>0</v>
      </c>
      <c r="H35" s="31"/>
    </row>
    <row r="36" spans="1:13">
      <c r="A36" s="31"/>
      <c r="B36" s="35" t="s">
        <v>69</v>
      </c>
      <c r="C36" s="138">
        <f>IF(D64&lt;=C70,0,D64)</f>
        <v>0</v>
      </c>
      <c r="D36" s="139">
        <v>0.14000000000000001</v>
      </c>
      <c r="E36" s="140">
        <f t="shared" si="3"/>
        <v>0</v>
      </c>
      <c r="F36" s="139">
        <v>0.21</v>
      </c>
      <c r="G36" s="140">
        <f t="shared" si="2"/>
        <v>0</v>
      </c>
      <c r="H36" s="31"/>
    </row>
    <row r="37" spans="1:13">
      <c r="A37" s="33"/>
      <c r="B37" s="35" t="s">
        <v>70</v>
      </c>
      <c r="C37" s="180">
        <f>D64</f>
        <v>2486.2523364485987</v>
      </c>
      <c r="D37" s="139"/>
      <c r="E37" s="140"/>
      <c r="F37" s="139">
        <f>IF($D$64&lt;(3.4609*Smic_horaire*151.67*J7/218),3.45,5.25)</f>
        <v>3.45</v>
      </c>
      <c r="G37" s="140">
        <f t="shared" si="2"/>
        <v>85.775705607476667</v>
      </c>
      <c r="H37" s="31"/>
    </row>
    <row r="38" spans="1:13">
      <c r="A38" s="33"/>
      <c r="B38" s="35" t="s">
        <v>71</v>
      </c>
      <c r="C38" s="138">
        <f>C73</f>
        <v>2486.2523364485987</v>
      </c>
      <c r="D38" s="139">
        <v>0</v>
      </c>
      <c r="E38" s="140"/>
      <c r="F38" s="139">
        <v>4.05</v>
      </c>
      <c r="G38" s="140">
        <f t="shared" si="2"/>
        <v>100.69321962616824</v>
      </c>
      <c r="H38" s="31"/>
    </row>
    <row r="39" spans="1:13">
      <c r="A39" s="33"/>
      <c r="B39" s="35" t="s">
        <v>72</v>
      </c>
      <c r="C39" s="138">
        <f>C73</f>
        <v>2486.2523364485987</v>
      </c>
      <c r="D39" s="139"/>
      <c r="E39" s="140"/>
      <c r="F39" s="139">
        <v>0.25</v>
      </c>
      <c r="G39" s="140">
        <f t="shared" si="2"/>
        <v>6.2156308411214969</v>
      </c>
      <c r="H39" s="31"/>
    </row>
    <row r="40" spans="1:13">
      <c r="A40" s="33"/>
      <c r="B40" s="35" t="s">
        <v>118</v>
      </c>
      <c r="C40" s="36">
        <f>C73</f>
        <v>2486.2523364485987</v>
      </c>
      <c r="D40" s="5">
        <v>2.4E-2</v>
      </c>
      <c r="E40" s="6">
        <f>C40*D40/100</f>
        <v>0.59670056074766376</v>
      </c>
      <c r="F40" s="5">
        <v>3.5999999999999997E-2</v>
      </c>
      <c r="G40" s="6">
        <f t="shared" si="2"/>
        <v>0.89505084112149547</v>
      </c>
      <c r="H40" s="31"/>
    </row>
    <row r="41" spans="1:13" ht="16.899999999999999" customHeight="1">
      <c r="A41" s="33"/>
      <c r="B41" s="60" t="s">
        <v>73</v>
      </c>
      <c r="C41" s="36">
        <f>IF(C2&lt;11,0,D64)</f>
        <v>0</v>
      </c>
      <c r="D41" s="5"/>
      <c r="E41" s="33"/>
      <c r="F41" s="52">
        <v>1.3</v>
      </c>
      <c r="G41" s="6">
        <f t="shared" si="2"/>
        <v>0</v>
      </c>
      <c r="H41" s="31"/>
    </row>
    <row r="42" spans="1:13">
      <c r="A42" s="33"/>
      <c r="B42" s="35" t="s">
        <v>74</v>
      </c>
      <c r="C42" s="36">
        <f>D64</f>
        <v>2486.2523364485987</v>
      </c>
      <c r="D42" s="5"/>
      <c r="E42" s="33"/>
      <c r="F42" s="5">
        <v>0.3</v>
      </c>
      <c r="G42" s="6">
        <f t="shared" si="2"/>
        <v>7.4587570093457964</v>
      </c>
      <c r="H42" s="31"/>
    </row>
    <row r="43" spans="1:13">
      <c r="A43" s="33"/>
      <c r="B43" s="35" t="s">
        <v>75</v>
      </c>
      <c r="C43" s="36">
        <f>IF(C2&lt;50,C70,D64)</f>
        <v>2486.2523364485987</v>
      </c>
      <c r="D43" s="5"/>
      <c r="E43" s="33"/>
      <c r="F43" s="5">
        <f>IF(C2&lt;50,0.1,0.5)</f>
        <v>0.1</v>
      </c>
      <c r="G43" s="6">
        <f t="shared" si="2"/>
        <v>2.4862523364485991</v>
      </c>
      <c r="H43" s="38"/>
    </row>
    <row r="44" spans="1:13">
      <c r="A44" s="33"/>
      <c r="B44" s="35" t="s">
        <v>76</v>
      </c>
      <c r="C44" s="36">
        <f>$D$64</f>
        <v>2486.2523364485987</v>
      </c>
      <c r="D44" s="5"/>
      <c r="E44" s="6"/>
      <c r="F44" s="5">
        <v>1.6E-2</v>
      </c>
      <c r="G44" s="6">
        <f>F44*C44/100</f>
        <v>0.3978003738317758</v>
      </c>
      <c r="H44" s="31"/>
    </row>
    <row r="45" spans="1:13">
      <c r="A45" s="33"/>
      <c r="B45" s="35" t="s">
        <v>77</v>
      </c>
      <c r="C45" s="138">
        <f>IF(C2&lt;11,0,(1.51%*C26+0.55%*C27+G28))</f>
        <v>0</v>
      </c>
      <c r="D45" s="5"/>
      <c r="E45" s="6"/>
      <c r="F45" s="5">
        <v>8</v>
      </c>
      <c r="G45" s="6">
        <f>F45*C45/100</f>
        <v>0</v>
      </c>
      <c r="H45" s="31"/>
    </row>
    <row r="46" spans="1:13" ht="20.25">
      <c r="A46" s="39"/>
      <c r="B46" s="35" t="s">
        <v>78</v>
      </c>
      <c r="C46" s="138">
        <f>$D$64</f>
        <v>2486.2523364485987</v>
      </c>
      <c r="D46" s="139"/>
      <c r="E46" s="181"/>
      <c r="F46" s="139">
        <f>IF(C2&lt;11,0.55,1)</f>
        <v>0.55000000000000004</v>
      </c>
      <c r="G46" s="140">
        <f t="shared" ref="G46:G55" si="4">F46*C46/100</f>
        <v>13.674387850467294</v>
      </c>
      <c r="H46" s="31"/>
      <c r="J46" s="217" t="s">
        <v>79</v>
      </c>
      <c r="K46" s="217"/>
      <c r="L46" s="217"/>
      <c r="M46" s="217"/>
    </row>
    <row r="47" spans="1:13">
      <c r="A47" s="39"/>
      <c r="B47" s="35" t="s">
        <v>80</v>
      </c>
      <c r="C47" s="138">
        <f>$D$64</f>
        <v>2486.2523364485987</v>
      </c>
      <c r="D47" s="139"/>
      <c r="E47" s="181"/>
      <c r="F47" s="139">
        <f>IF(C2&lt;11,1.55,1.1)</f>
        <v>1.55</v>
      </c>
      <c r="G47" s="140">
        <f t="shared" si="4"/>
        <v>38.536911214953278</v>
      </c>
      <c r="H47" s="31"/>
      <c r="J47" s="218"/>
      <c r="K47" s="218"/>
      <c r="L47" s="218"/>
    </row>
    <row r="48" spans="1:13">
      <c r="A48" s="39"/>
      <c r="B48" s="35"/>
      <c r="C48" s="36"/>
      <c r="D48" s="5"/>
      <c r="E48" s="33"/>
      <c r="F48" s="5"/>
      <c r="G48" s="6"/>
      <c r="H48" s="31"/>
    </row>
    <row r="49" spans="1:13" ht="13.15" customHeight="1">
      <c r="A49" s="39"/>
      <c r="B49" s="35" t="s">
        <v>81</v>
      </c>
      <c r="C49" s="36">
        <f>$D$64</f>
        <v>2486.2523364485987</v>
      </c>
      <c r="D49" s="5"/>
      <c r="E49" s="33"/>
      <c r="F49" s="5">
        <v>0.1</v>
      </c>
      <c r="G49" s="6">
        <f t="shared" si="4"/>
        <v>2.4862523364485991</v>
      </c>
      <c r="H49" s="31"/>
      <c r="J49" s="186" t="s">
        <v>82</v>
      </c>
      <c r="K49" s="186"/>
      <c r="L49" s="186"/>
      <c r="M49" s="142">
        <f>(G53+G54+G55)</f>
        <v>237.8410155551403</v>
      </c>
    </row>
    <row r="50" spans="1:13" ht="13.15" customHeight="1">
      <c r="A50" s="33"/>
      <c r="B50" s="35" t="s">
        <v>119</v>
      </c>
      <c r="C50" s="36">
        <f>D64</f>
        <v>2486.2523364485987</v>
      </c>
      <c r="D50" s="5"/>
      <c r="E50" s="6"/>
      <c r="F50" s="5">
        <f>IF(C2&lt;50,0,0.45)</f>
        <v>0</v>
      </c>
      <c r="G50" s="6">
        <f t="shared" si="4"/>
        <v>0</v>
      </c>
      <c r="H50" s="38"/>
      <c r="J50" s="186"/>
      <c r="K50" s="186"/>
      <c r="L50" s="186"/>
      <c r="M50" s="142"/>
    </row>
    <row r="51" spans="1:13" ht="13.15" customHeight="1">
      <c r="A51" s="39"/>
      <c r="B51" s="35" t="s">
        <v>84</v>
      </c>
      <c r="C51" s="36">
        <f>98.25%*$D$64+(C26*1.51%)+(C27*0.55%)+$G$28</f>
        <v>2499.3215808411223</v>
      </c>
      <c r="D51" s="5">
        <v>6.8</v>
      </c>
      <c r="E51" s="6">
        <f>D51*C51/100</f>
        <v>169.95386749719628</v>
      </c>
      <c r="F51" s="5"/>
      <c r="G51" s="6"/>
      <c r="H51" s="31"/>
      <c r="J51" s="186"/>
      <c r="K51" s="186"/>
      <c r="L51" s="186"/>
      <c r="M51" s="141"/>
    </row>
    <row r="52" spans="1:13" ht="13.15" customHeight="1">
      <c r="A52" s="39"/>
      <c r="B52" s="35" t="s">
        <v>85</v>
      </c>
      <c r="C52" s="36">
        <f>98.25%*$D$64+(C26*1.51%)+(C27*0.55%)+$G$28</f>
        <v>2499.3215808411223</v>
      </c>
      <c r="D52" s="5">
        <v>2.9</v>
      </c>
      <c r="E52" s="6">
        <f>D52*C52/100</f>
        <v>72.480325844392553</v>
      </c>
      <c r="F52" s="5"/>
      <c r="G52" s="6"/>
      <c r="H52" s="31"/>
      <c r="J52" s="186" t="s">
        <v>86</v>
      </c>
      <c r="K52" s="186"/>
      <c r="L52" s="186"/>
      <c r="M52" s="142">
        <f>D64</f>
        <v>2486.2523364485987</v>
      </c>
    </row>
    <row r="53" spans="1:13" ht="13.15" customHeight="1">
      <c r="A53" s="33"/>
      <c r="B53" s="40" t="s">
        <v>87</v>
      </c>
      <c r="C53" s="36">
        <f>$D$64+(C26*1.51%)+(C27*0.55%)+G28</f>
        <v>2542.8309967289729</v>
      </c>
      <c r="D53" s="5"/>
      <c r="E53" s="6"/>
      <c r="F53" s="5">
        <v>4.25</v>
      </c>
      <c r="G53" s="6">
        <f t="shared" si="4"/>
        <v>108.07031736098135</v>
      </c>
      <c r="H53" s="31"/>
      <c r="J53" s="187" t="s">
        <v>88</v>
      </c>
      <c r="K53" s="187"/>
      <c r="L53" s="187"/>
      <c r="M53" s="188">
        <f>F64-M49</f>
        <v>858.69338906542089</v>
      </c>
    </row>
    <row r="54" spans="1:13" ht="13.15" customHeight="1">
      <c r="A54" s="33"/>
      <c r="B54" s="40" t="s">
        <v>89</v>
      </c>
      <c r="C54" s="36">
        <f>IF(C53&gt;=tranche_1_taxe_salaire,IF(C53&gt;=tranche_2_taxe_salaire,tranche_2_taxe_salaire-tranche_1_taxe_salaire,C53-tranche_1_taxe_salaire),0)</f>
        <v>746</v>
      </c>
      <c r="D54" s="5"/>
      <c r="E54" s="6"/>
      <c r="F54" s="5">
        <v>4.25</v>
      </c>
      <c r="G54" s="6">
        <f t="shared" si="4"/>
        <v>31.704999999999998</v>
      </c>
      <c r="H54" s="31"/>
      <c r="J54" s="187"/>
      <c r="K54" s="187"/>
      <c r="L54" s="187"/>
      <c r="M54" s="188"/>
    </row>
    <row r="55" spans="1:13" ht="13.15" customHeight="1">
      <c r="A55" s="33"/>
      <c r="B55" s="40" t="s">
        <v>90</v>
      </c>
      <c r="C55" s="36">
        <f>IF(C53&gt;tranche_2_taxe_salaire,C53-tranche_2_taxe_salaire,0)</f>
        <v>1048.8309967289729</v>
      </c>
      <c r="D55" s="5"/>
      <c r="E55" s="6"/>
      <c r="F55" s="5">
        <v>9.35</v>
      </c>
      <c r="G55" s="6">
        <f t="shared" si="4"/>
        <v>98.065698194158955</v>
      </c>
      <c r="H55" s="31"/>
      <c r="J55" s="186" t="s">
        <v>91</v>
      </c>
      <c r="K55" s="186"/>
      <c r="L55" s="186"/>
      <c r="M55" s="142">
        <f>(E58+G59)</f>
        <v>114</v>
      </c>
    </row>
    <row r="56" spans="1:13" ht="13.15" customHeight="1">
      <c r="A56" s="33"/>
      <c r="B56" s="173" t="s">
        <v>92</v>
      </c>
      <c r="C56" s="159">
        <f>D64</f>
        <v>2486.2523364485987</v>
      </c>
      <c r="D56" s="160"/>
      <c r="E56" s="161"/>
      <c r="F56" s="160">
        <f>IF(C2&lt;50,-C77,-C78)</f>
        <v>-3.4000000000000002E-2</v>
      </c>
      <c r="G56" s="161">
        <f>IF(F56&gt;0,0,C56*F56)</f>
        <v>-84.532579439252359</v>
      </c>
      <c r="H56" s="38"/>
      <c r="J56" s="186"/>
      <c r="K56" s="186"/>
      <c r="L56" s="186"/>
      <c r="M56" s="142"/>
    </row>
    <row r="57" spans="1:13">
      <c r="A57" s="42"/>
      <c r="B57" s="43" t="s">
        <v>93</v>
      </c>
      <c r="C57" s="7"/>
      <c r="D57" s="12"/>
      <c r="E57" s="10">
        <f>SUM(E25:E56)</f>
        <v>591.49557848177574</v>
      </c>
      <c r="F57" s="9"/>
      <c r="G57" s="10">
        <f>SUM(G25:G56)</f>
        <v>1096.5344046205612</v>
      </c>
      <c r="H57" s="44"/>
      <c r="J57" s="186"/>
      <c r="K57" s="186"/>
      <c r="L57" s="186"/>
      <c r="M57" s="142"/>
    </row>
    <row r="58" spans="1:13">
      <c r="A58" s="42"/>
      <c r="B58" s="12" t="s">
        <v>94</v>
      </c>
      <c r="C58" s="54">
        <v>75</v>
      </c>
      <c r="D58" s="8"/>
      <c r="E58" s="9">
        <f>IF(J7&lt;17.5,C58/2*J7/17.5,C58*50%)</f>
        <v>37.5</v>
      </c>
      <c r="F58" s="9"/>
      <c r="G58" s="10"/>
      <c r="H58" s="31"/>
      <c r="J58" s="184" t="s">
        <v>95</v>
      </c>
      <c r="K58" s="184"/>
      <c r="L58" s="184"/>
      <c r="M58" s="143">
        <f>SUM(M49:M57)</f>
        <v>3696.7867410691597</v>
      </c>
    </row>
    <row r="59" spans="1:13">
      <c r="A59" s="42"/>
      <c r="B59" s="12" t="s">
        <v>96</v>
      </c>
      <c r="C59" s="54">
        <v>127.5</v>
      </c>
      <c r="D59" s="55">
        <v>0.4</v>
      </c>
      <c r="E59" s="11">
        <f>-C59*D59</f>
        <v>-51</v>
      </c>
      <c r="F59" s="56">
        <v>0.6</v>
      </c>
      <c r="G59" s="12">
        <f>C59*F59</f>
        <v>76.5</v>
      </c>
      <c r="H59" s="31"/>
    </row>
    <row r="60" spans="1:13" ht="15">
      <c r="B60" s="63" t="s">
        <v>120</v>
      </c>
      <c r="C60" s="158">
        <f>D64-E57</f>
        <v>1894.756757966823</v>
      </c>
      <c r="D60" s="42"/>
      <c r="E60" s="42"/>
      <c r="F60" s="42"/>
      <c r="G60" s="42"/>
      <c r="H60" s="31"/>
    </row>
    <row r="61" spans="1:13" ht="15">
      <c r="B61" s="63" t="s">
        <v>121</v>
      </c>
      <c r="C61" s="158">
        <f>D64-E57+E52+G28</f>
        <v>1986.2733338112157</v>
      </c>
      <c r="D61" s="42"/>
      <c r="E61" s="42"/>
      <c r="F61" s="42"/>
      <c r="G61" s="42"/>
      <c r="H61" s="31"/>
    </row>
    <row r="62" spans="1:13">
      <c r="A62" s="42"/>
      <c r="B62" s="42"/>
      <c r="C62" s="46"/>
      <c r="D62" s="42"/>
      <c r="E62" s="42"/>
      <c r="F62" s="42"/>
      <c r="G62" s="42"/>
      <c r="H62" s="31"/>
    </row>
    <row r="63" spans="1:13" ht="38.25">
      <c r="B63" s="47"/>
      <c r="C63" s="45" t="s">
        <v>99</v>
      </c>
      <c r="D63" s="144" t="s">
        <v>100</v>
      </c>
      <c r="E63" s="145" t="s">
        <v>101</v>
      </c>
      <c r="F63" s="146" t="s">
        <v>102</v>
      </c>
      <c r="G63" s="147" t="s">
        <v>103</v>
      </c>
      <c r="H63" s="31"/>
    </row>
    <row r="64" spans="1:13">
      <c r="A64" s="31"/>
      <c r="B64" s="47"/>
      <c r="C64" s="48"/>
      <c r="D64" s="148">
        <f>L19</f>
        <v>2486.2523364485987</v>
      </c>
      <c r="E64" s="149">
        <f>D64-E57+E58+E59</f>
        <v>1881.256757966823</v>
      </c>
      <c r="F64" s="148">
        <f>G57</f>
        <v>1096.5344046205612</v>
      </c>
      <c r="G64" s="149">
        <f>F64+D64+E58+G59</f>
        <v>3696.7867410691597</v>
      </c>
      <c r="H64" s="31"/>
    </row>
    <row r="65" spans="1:8">
      <c r="A65" s="31"/>
      <c r="B65" s="31"/>
      <c r="C65" s="32"/>
      <c r="D65" s="31"/>
      <c r="E65" s="31"/>
      <c r="F65" s="31"/>
      <c r="G65" s="31"/>
      <c r="H65" s="31"/>
    </row>
    <row r="66" spans="1:8">
      <c r="A66" s="31"/>
      <c r="B66" s="31"/>
      <c r="C66" s="32"/>
      <c r="D66" s="31"/>
      <c r="E66" s="31"/>
      <c r="F66" s="31"/>
      <c r="G66" s="31"/>
      <c r="H66" s="31"/>
    </row>
    <row r="67" spans="1:8" ht="15.75">
      <c r="B67" s="150" t="s">
        <v>104</v>
      </c>
      <c r="C67" s="151"/>
      <c r="D67" s="31"/>
      <c r="E67" s="49"/>
      <c r="F67" s="31"/>
      <c r="G67" s="31"/>
      <c r="H67" s="31"/>
    </row>
    <row r="68" spans="1:8">
      <c r="B68" s="152" t="s">
        <v>3</v>
      </c>
      <c r="C68" s="153">
        <f>PMSS</f>
        <v>3925</v>
      </c>
      <c r="D68" s="31"/>
      <c r="E68" s="31"/>
      <c r="F68" s="31"/>
      <c r="G68" s="31"/>
      <c r="H68" s="31"/>
    </row>
    <row r="69" spans="1:8">
      <c r="B69" s="154" t="s">
        <v>105</v>
      </c>
      <c r="C69" s="155">
        <f>J7/J6</f>
        <v>0.93457943925233644</v>
      </c>
    </row>
    <row r="70" spans="1:8">
      <c r="B70" s="154" t="s">
        <v>106</v>
      </c>
      <c r="C70" s="155">
        <f>IF(D64&lt;=C68*C69,D64,C68*C69)</f>
        <v>2486.2523364485987</v>
      </c>
    </row>
    <row r="71" spans="1:8">
      <c r="B71" s="154" t="s">
        <v>107</v>
      </c>
      <c r="C71" s="155">
        <f>IF(D64&lt;=C68*4*C69,D64-C68*C69,C68*4*C69)</f>
        <v>-1181.9719626168217</v>
      </c>
    </row>
    <row r="72" spans="1:8">
      <c r="B72" s="154" t="s">
        <v>108</v>
      </c>
      <c r="C72" s="155">
        <f>IF(D64&lt;=C68*8*C69,D64-C68*C69,C68*8*C69)</f>
        <v>-1181.9719626168217</v>
      </c>
    </row>
    <row r="73" spans="1:8">
      <c r="B73" s="154" t="s">
        <v>109</v>
      </c>
      <c r="C73" s="155">
        <f>IF(D64&lt;=C68*4*C69,D64,C68*4*C69)</f>
        <v>2486.2523364485987</v>
      </c>
    </row>
    <row r="74" spans="1:8">
      <c r="B74" s="154" t="s">
        <v>110</v>
      </c>
      <c r="C74" s="155">
        <f>IF(D64&lt;=C68*8*C69,D64-C68*C69,C68*8*C69)</f>
        <v>-1181.9719626168217</v>
      </c>
    </row>
    <row r="75" spans="1:8">
      <c r="B75" s="154" t="s">
        <v>111</v>
      </c>
      <c r="C75" s="155">
        <f>IF(D64&lt;=C68*8*C69,D64,C68*8*C69)</f>
        <v>2486.2523364485987</v>
      </c>
    </row>
    <row r="76" spans="1:8">
      <c r="B76" s="154"/>
      <c r="C76" s="156"/>
    </row>
    <row r="77" spans="1:8">
      <c r="B77" s="154" t="s">
        <v>122</v>
      </c>
      <c r="C77" s="156">
        <f>ROUND(Paramètre_T_coef_fillon___50_ETP*((1.6*151.67*Smic_horaire*J7/218/D64)-1),3)</f>
        <v>3.4000000000000002E-2</v>
      </c>
    </row>
    <row r="78" spans="1:8">
      <c r="B78" s="154" t="s">
        <v>113</v>
      </c>
      <c r="C78" s="157">
        <f>ROUND(Paramètre_T_coeff_fillon_50_et*((1.6*151.67*Smic_horaire*J7/218/D64)-1),3)</f>
        <v>3.4000000000000002E-2</v>
      </c>
    </row>
  </sheetData>
  <sheetProtection sheet="1" objects="1" scenarios="1"/>
  <mergeCells count="31">
    <mergeCell ref="A1:A14"/>
    <mergeCell ref="B1:N1"/>
    <mergeCell ref="B4:M4"/>
    <mergeCell ref="B5:M5"/>
    <mergeCell ref="C7:E7"/>
    <mergeCell ref="J7:K7"/>
    <mergeCell ref="D8:E8"/>
    <mergeCell ref="H8:I8"/>
    <mergeCell ref="G9:I9"/>
    <mergeCell ref="L9:M9"/>
    <mergeCell ref="J6:K6"/>
    <mergeCell ref="H10:I10"/>
    <mergeCell ref="L10:M10"/>
    <mergeCell ref="F7:I7"/>
    <mergeCell ref="F6:I6"/>
    <mergeCell ref="J57:L57"/>
    <mergeCell ref="J58:L58"/>
    <mergeCell ref="J46:M46"/>
    <mergeCell ref="J47:L47"/>
    <mergeCell ref="J49:L49"/>
    <mergeCell ref="J50:L50"/>
    <mergeCell ref="J51:L51"/>
    <mergeCell ref="J52:L52"/>
    <mergeCell ref="J53:L54"/>
    <mergeCell ref="M53:M54"/>
    <mergeCell ref="J55:L55"/>
    <mergeCell ref="C19:J19"/>
    <mergeCell ref="J20:M20"/>
    <mergeCell ref="D23:E23"/>
    <mergeCell ref="F23:G23"/>
    <mergeCell ref="J56:L56"/>
  </mergeCells>
  <dataValidations count="3">
    <dataValidation type="list" allowBlank="1" showInputMessage="1" showErrorMessage="1" sqref="D8:E8" xr:uid="{9EBDBCF8-2197-4151-8717-24B221944881}">
      <formula1>"G,H,I,J"</formula1>
    </dataValidation>
    <dataValidation type="list" allowBlank="1" showInputMessage="1" showErrorMessage="1" sqref="C6" xr:uid="{EC974F12-A3A0-4C05-B43B-E074DC66ADA2}">
      <formula1>"0,1,2,3,4,5,6,7,8,9,10,11,12,13,14,15,16,17,18,19,20,21,22,23,24,25,26,27,28,29,30"</formula1>
    </dataValidation>
    <dataValidation type="list" allowBlank="1" showInputMessage="1" showErrorMessage="1" sqref="C3" xr:uid="{C7F8F59B-EDEB-43E0-9B15-1FE70AEB53DE}">
      <formula1>"OUI,NON"</formula1>
    </dataValidation>
  </dataValidations>
  <pageMargins left="0.70866141732283472" right="0.70866141732283472" top="0.74803149606299213" bottom="0.74803149606299213" header="0.31496062992125984" footer="0.31496062992125984"/>
  <pageSetup paperSize="9" scale="75" orientation="landscape" r:id="rId1"/>
  <colBreaks count="1" manualBreakCount="1">
    <brk id="14"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94FA2-8CB8-496A-A0EB-305943328DA5}">
  <dimension ref="A1:P78"/>
  <sheetViews>
    <sheetView topLeftCell="A3" zoomScale="80" zoomScaleNormal="80" workbookViewId="0">
      <selection activeCell="P9" sqref="P9"/>
    </sheetView>
  </sheetViews>
  <sheetFormatPr baseColWidth="10" defaultColWidth="9.33203125" defaultRowHeight="12.75"/>
  <cols>
    <col min="1" max="1" width="10.6640625" style="16" customWidth="1"/>
    <col min="2" max="2" width="51.1640625" style="16" customWidth="1"/>
    <col min="3" max="3" width="13.6640625" style="50" bestFit="1" customWidth="1"/>
    <col min="4" max="4" width="18.1640625" style="16" customWidth="1"/>
    <col min="5" max="5" width="13.5" style="16" customWidth="1"/>
    <col min="6" max="6" width="10.83203125" style="16" customWidth="1"/>
    <col min="7" max="7" width="10.6640625" style="16" bestFit="1" customWidth="1"/>
    <col min="8" max="8" width="14" style="16" customWidth="1"/>
    <col min="9" max="9" width="8.5" style="16" customWidth="1"/>
    <col min="10" max="10" width="10.33203125" style="16" customWidth="1"/>
    <col min="11" max="11" width="9" style="16" customWidth="1"/>
    <col min="12" max="12" width="24.5" style="16" customWidth="1"/>
    <col min="13" max="13" width="11.83203125" style="16" bestFit="1" customWidth="1"/>
    <col min="14" max="14" width="8.33203125" style="16" customWidth="1"/>
    <col min="15" max="15" width="9.33203125" style="16"/>
    <col min="16" max="16" width="12.5" style="16" customWidth="1"/>
    <col min="17" max="16384" width="9.33203125" style="16"/>
  </cols>
  <sheetData>
    <row r="1" spans="1:16" ht="53.25" customHeight="1" thickBot="1">
      <c r="A1" s="193"/>
      <c r="B1" s="195" t="s">
        <v>142</v>
      </c>
      <c r="C1" s="195"/>
      <c r="D1" s="195"/>
      <c r="E1" s="195"/>
      <c r="F1" s="195"/>
      <c r="G1" s="195"/>
      <c r="H1" s="195"/>
      <c r="I1" s="195"/>
      <c r="J1" s="195"/>
      <c r="K1" s="195"/>
      <c r="L1" s="195"/>
      <c r="M1" s="195"/>
      <c r="N1" s="196"/>
      <c r="O1" s="14"/>
      <c r="P1" s="15"/>
    </row>
    <row r="2" spans="1:16" ht="27" customHeight="1" thickBot="1">
      <c r="A2" s="193"/>
      <c r="B2" s="69" t="s">
        <v>18</v>
      </c>
      <c r="C2" s="71">
        <v>5</v>
      </c>
      <c r="D2" s="13"/>
      <c r="E2" s="13"/>
      <c r="F2" s="13"/>
      <c r="G2" s="13"/>
      <c r="H2" s="13"/>
      <c r="I2" s="13"/>
      <c r="J2" s="13"/>
      <c r="K2" s="13"/>
      <c r="L2" s="13"/>
      <c r="M2" s="13"/>
      <c r="N2" s="13"/>
      <c r="O2" s="17"/>
      <c r="P2" s="15"/>
    </row>
    <row r="3" spans="1:16" ht="27" customHeight="1" thickBot="1">
      <c r="A3" s="193"/>
      <c r="B3" s="70" t="s">
        <v>19</v>
      </c>
      <c r="C3" s="72" t="s">
        <v>20</v>
      </c>
      <c r="D3" s="13"/>
      <c r="E3" s="13"/>
      <c r="F3" s="13"/>
      <c r="G3" s="13"/>
      <c r="H3" s="13"/>
      <c r="I3" s="13"/>
      <c r="J3" s="13"/>
      <c r="K3" s="13"/>
      <c r="L3" s="13"/>
      <c r="M3" s="13"/>
      <c r="N3" s="13"/>
      <c r="O3" s="17"/>
      <c r="P3" s="15"/>
    </row>
    <row r="4" spans="1:16" ht="30.6" customHeight="1" thickTop="1" thickBot="1">
      <c r="A4" s="193"/>
      <c r="B4" s="200" t="s">
        <v>21</v>
      </c>
      <c r="C4" s="201"/>
      <c r="D4" s="219"/>
      <c r="E4" s="219"/>
      <c r="F4" s="219"/>
      <c r="G4" s="219"/>
      <c r="H4" s="219"/>
      <c r="I4" s="219"/>
      <c r="J4" s="219"/>
      <c r="K4" s="219"/>
      <c r="L4" s="219"/>
      <c r="M4" s="220"/>
      <c r="N4" s="13"/>
      <c r="O4" s="17"/>
    </row>
    <row r="5" spans="1:16" ht="35.65" customHeight="1" thickTop="1" thickBot="1">
      <c r="A5" s="193"/>
      <c r="B5" s="221"/>
      <c r="C5" s="219"/>
      <c r="D5" s="219"/>
      <c r="E5" s="219"/>
      <c r="F5" s="219"/>
      <c r="G5" s="219"/>
      <c r="H5" s="219"/>
      <c r="I5" s="219"/>
      <c r="J5" s="219"/>
      <c r="K5" s="219"/>
      <c r="L5" s="219"/>
      <c r="M5" s="220"/>
      <c r="N5" s="18"/>
      <c r="O5" s="19"/>
    </row>
    <row r="6" spans="1:16" ht="35.65" customHeight="1" thickBot="1">
      <c r="A6" s="193"/>
      <c r="B6" s="57" t="s">
        <v>22</v>
      </c>
      <c r="C6" s="64">
        <v>2</v>
      </c>
      <c r="D6" s="58"/>
      <c r="E6" s="58"/>
      <c r="F6" s="222" t="s">
        <v>128</v>
      </c>
      <c r="G6" s="222"/>
      <c r="H6" s="222"/>
      <c r="I6" s="222"/>
      <c r="J6" s="230">
        <v>900</v>
      </c>
      <c r="K6" s="231"/>
      <c r="L6" s="58"/>
      <c r="M6" s="59"/>
      <c r="N6" s="18"/>
      <c r="O6" s="19"/>
    </row>
    <row r="7" spans="1:16" ht="25.15" customHeight="1" thickBot="1">
      <c r="A7" s="193"/>
      <c r="B7" s="20" t="s">
        <v>23</v>
      </c>
      <c r="C7" s="201"/>
      <c r="D7" s="201"/>
      <c r="E7" s="201"/>
      <c r="F7" s="229" t="s">
        <v>129</v>
      </c>
      <c r="G7" s="229"/>
      <c r="H7" s="229"/>
      <c r="I7" s="229"/>
      <c r="J7" s="229">
        <f>J6*110/100/12</f>
        <v>82.5</v>
      </c>
      <c r="K7" s="229"/>
      <c r="L7" s="21"/>
      <c r="M7" s="22"/>
      <c r="N7" s="19"/>
      <c r="O7" s="19"/>
      <c r="P7" s="23"/>
    </row>
    <row r="8" spans="1:16" ht="25.15" customHeight="1" thickBot="1">
      <c r="A8" s="193"/>
      <c r="B8" s="20" t="s">
        <v>26</v>
      </c>
      <c r="C8" s="24"/>
      <c r="D8" s="205" t="s">
        <v>130</v>
      </c>
      <c r="E8" s="206"/>
      <c r="F8" s="21" t="s">
        <v>28</v>
      </c>
      <c r="G8" s="21"/>
      <c r="H8" s="207">
        <v>265</v>
      </c>
      <c r="I8" s="208"/>
      <c r="J8" s="21"/>
      <c r="M8" s="22"/>
      <c r="N8" s="19"/>
      <c r="O8" s="19"/>
    </row>
    <row r="9" spans="1:16" ht="18.75" customHeight="1">
      <c r="A9" s="193"/>
      <c r="B9" s="84" t="s">
        <v>29</v>
      </c>
      <c r="C9" s="114">
        <f>Valeur_de_point_V1</f>
        <v>7.15</v>
      </c>
      <c r="G9" s="209" t="s">
        <v>30</v>
      </c>
      <c r="H9" s="210"/>
      <c r="I9" s="211"/>
      <c r="J9" s="19"/>
      <c r="K9" s="85"/>
      <c r="L9" s="212" t="s">
        <v>31</v>
      </c>
      <c r="M9" s="213"/>
      <c r="N9" s="19"/>
      <c r="O9" s="19"/>
    </row>
    <row r="10" spans="1:16" ht="18.75" customHeight="1" thickBot="1">
      <c r="A10" s="193"/>
      <c r="B10" s="86" t="s">
        <v>32</v>
      </c>
      <c r="C10" s="115">
        <f>Valeur_de_point_V2</f>
        <v>6.73</v>
      </c>
      <c r="G10" s="87"/>
      <c r="H10" s="214"/>
      <c r="I10" s="215"/>
      <c r="J10" s="19"/>
      <c r="K10" s="88"/>
      <c r="L10" s="214"/>
      <c r="M10" s="216"/>
      <c r="N10" s="19"/>
      <c r="O10" s="19"/>
    </row>
    <row r="11" spans="1:16" ht="29.25" customHeight="1" thickBot="1">
      <c r="A11" s="193"/>
      <c r="B11" s="89" t="s">
        <v>33</v>
      </c>
      <c r="C11" s="116">
        <f>Paramètres!F5</f>
        <v>257</v>
      </c>
      <c r="D11" s="90" t="s">
        <v>34</v>
      </c>
      <c r="E11" s="91" t="s">
        <v>35</v>
      </c>
      <c r="F11" s="118">
        <f>C9</f>
        <v>7.15</v>
      </c>
      <c r="G11" s="119" t="s">
        <v>35</v>
      </c>
      <c r="H11" s="176">
        <f>SUM($J$7)</f>
        <v>82.5</v>
      </c>
      <c r="I11" s="121" t="s">
        <v>36</v>
      </c>
      <c r="J11" s="122">
        <v>151.66999999999999</v>
      </c>
      <c r="K11" s="123"/>
      <c r="L11" s="124">
        <f t="shared" ref="L11:L17" si="0">C11*F11*H11/J11</f>
        <v>999.5244610008574</v>
      </c>
      <c r="M11" s="95" t="s">
        <v>37</v>
      </c>
      <c r="O11" s="19"/>
    </row>
    <row r="12" spans="1:16" ht="32.1" customHeight="1" thickBot="1">
      <c r="A12" s="193"/>
      <c r="B12" s="96" t="s">
        <v>38</v>
      </c>
      <c r="C12" s="117">
        <f>H8-C11</f>
        <v>8</v>
      </c>
      <c r="D12" s="97" t="s">
        <v>39</v>
      </c>
      <c r="E12" s="98" t="s">
        <v>35</v>
      </c>
      <c r="F12" s="126">
        <f>C10</f>
        <v>6.73</v>
      </c>
      <c r="G12" s="119" t="s">
        <v>35</v>
      </c>
      <c r="H12" s="176">
        <f t="shared" ref="H12:H17" si="1">SUM($J$7)</f>
        <v>82.5</v>
      </c>
      <c r="I12" s="121" t="s">
        <v>36</v>
      </c>
      <c r="J12" s="122">
        <v>151.66999999999999</v>
      </c>
      <c r="K12" s="127" t="s">
        <v>38</v>
      </c>
      <c r="L12" s="124">
        <f t="shared" si="0"/>
        <v>29.285949759345954</v>
      </c>
      <c r="M12" s="99" t="s">
        <v>40</v>
      </c>
    </row>
    <row r="13" spans="1:16" ht="32.1" customHeight="1" thickBot="1">
      <c r="A13" s="193"/>
      <c r="B13" s="100" t="s">
        <v>41</v>
      </c>
      <c r="C13" s="1">
        <v>0</v>
      </c>
      <c r="D13" s="101" t="s">
        <v>42</v>
      </c>
      <c r="E13" s="98" t="s">
        <v>35</v>
      </c>
      <c r="F13" s="126">
        <f>C10</f>
        <v>6.73</v>
      </c>
      <c r="G13" s="119" t="s">
        <v>35</v>
      </c>
      <c r="H13" s="176">
        <f>SUM($J$7)</f>
        <v>82.5</v>
      </c>
      <c r="I13" s="121" t="s">
        <v>36</v>
      </c>
      <c r="J13" s="122">
        <v>151.66999999999999</v>
      </c>
      <c r="K13" s="129" t="s">
        <v>38</v>
      </c>
      <c r="L13" s="124">
        <f t="shared" si="0"/>
        <v>0</v>
      </c>
      <c r="M13" s="99" t="s">
        <v>40</v>
      </c>
    </row>
    <row r="14" spans="1:16" ht="32.1" customHeight="1" thickBot="1">
      <c r="A14" s="194"/>
      <c r="B14" s="100" t="s">
        <v>43</v>
      </c>
      <c r="C14" s="2">
        <f>+(C6)*2</f>
        <v>4</v>
      </c>
      <c r="D14" s="101" t="s">
        <v>42</v>
      </c>
      <c r="E14" s="98" t="s">
        <v>35</v>
      </c>
      <c r="F14" s="126">
        <f>C9</f>
        <v>7.15</v>
      </c>
      <c r="G14" s="119" t="s">
        <v>35</v>
      </c>
      <c r="H14" s="176">
        <f t="shared" si="1"/>
        <v>82.5</v>
      </c>
      <c r="I14" s="121" t="s">
        <v>36</v>
      </c>
      <c r="J14" s="122">
        <v>151.66999999999999</v>
      </c>
      <c r="K14" s="129" t="s">
        <v>38</v>
      </c>
      <c r="L14" s="124">
        <f t="shared" si="0"/>
        <v>15.556800949429684</v>
      </c>
      <c r="M14" s="99" t="s">
        <v>40</v>
      </c>
    </row>
    <row r="15" spans="1:16" ht="32.1" customHeight="1" thickBot="1">
      <c r="A15" s="25"/>
      <c r="B15" s="100" t="s">
        <v>135</v>
      </c>
      <c r="C15" s="1"/>
      <c r="D15" s="102" t="s">
        <v>44</v>
      </c>
      <c r="E15" s="98" t="s">
        <v>35</v>
      </c>
      <c r="F15" s="126">
        <f>C9</f>
        <v>7.15</v>
      </c>
      <c r="G15" s="119" t="s">
        <v>35</v>
      </c>
      <c r="H15" s="176">
        <f t="shared" si="1"/>
        <v>82.5</v>
      </c>
      <c r="I15" s="121" t="s">
        <v>36</v>
      </c>
      <c r="J15" s="122">
        <v>151.66999999999999</v>
      </c>
      <c r="K15" s="129" t="s">
        <v>38</v>
      </c>
      <c r="L15" s="124">
        <f t="shared" si="0"/>
        <v>0</v>
      </c>
      <c r="M15" s="99" t="s">
        <v>40</v>
      </c>
    </row>
    <row r="16" spans="1:16" ht="32.1" customHeight="1" thickBot="1">
      <c r="A16" s="25"/>
      <c r="B16" s="100" t="s">
        <v>45</v>
      </c>
      <c r="C16" s="1">
        <v>0</v>
      </c>
      <c r="D16" s="101" t="s">
        <v>42</v>
      </c>
      <c r="E16" s="98" t="s">
        <v>35</v>
      </c>
      <c r="F16" s="126">
        <f>C10</f>
        <v>6.73</v>
      </c>
      <c r="G16" s="119" t="s">
        <v>35</v>
      </c>
      <c r="H16" s="176">
        <f t="shared" si="1"/>
        <v>82.5</v>
      </c>
      <c r="I16" s="121" t="s">
        <v>36</v>
      </c>
      <c r="J16" s="122">
        <v>151.66999999999999</v>
      </c>
      <c r="K16" s="129" t="s">
        <v>38</v>
      </c>
      <c r="L16" s="124">
        <f t="shared" si="0"/>
        <v>0</v>
      </c>
      <c r="M16" s="99" t="s">
        <v>40</v>
      </c>
    </row>
    <row r="17" spans="1:14" ht="32.1" customHeight="1" thickBot="1">
      <c r="A17" s="25"/>
      <c r="B17" s="100" t="s">
        <v>46</v>
      </c>
      <c r="C17" s="1">
        <v>0</v>
      </c>
      <c r="D17" s="101" t="s">
        <v>42</v>
      </c>
      <c r="E17" s="98" t="s">
        <v>35</v>
      </c>
      <c r="F17" s="126">
        <f>C10</f>
        <v>6.73</v>
      </c>
      <c r="G17" s="130" t="s">
        <v>35</v>
      </c>
      <c r="H17" s="176">
        <f t="shared" si="1"/>
        <v>82.5</v>
      </c>
      <c r="I17" s="121" t="s">
        <v>36</v>
      </c>
      <c r="J17" s="122">
        <v>151.66999999999999</v>
      </c>
      <c r="K17" s="129" t="s">
        <v>38</v>
      </c>
      <c r="L17" s="124">
        <f t="shared" si="0"/>
        <v>0</v>
      </c>
      <c r="M17" s="99" t="s">
        <v>40</v>
      </c>
    </row>
    <row r="18" spans="1:14" ht="32.1" customHeight="1" thickBot="1">
      <c r="A18" s="26"/>
      <c r="B18" s="100" t="s">
        <v>48</v>
      </c>
      <c r="C18" s="1"/>
      <c r="D18" s="101"/>
      <c r="E18" s="98"/>
      <c r="F18" s="3"/>
      <c r="G18" s="174"/>
      <c r="H18" s="92"/>
      <c r="I18" s="103"/>
      <c r="J18" s="93"/>
      <c r="K18" s="106" t="s">
        <v>38</v>
      </c>
      <c r="L18" s="94">
        <f>C18</f>
        <v>0</v>
      </c>
      <c r="M18" s="108"/>
    </row>
    <row r="19" spans="1:14" ht="31.5" customHeight="1" thickBot="1">
      <c r="A19" s="26"/>
      <c r="B19" s="109" t="s">
        <v>49</v>
      </c>
      <c r="C19" s="1"/>
      <c r="D19" s="101" t="s">
        <v>42</v>
      </c>
      <c r="E19" s="98" t="s">
        <v>35</v>
      </c>
      <c r="F19" s="65">
        <f>C10</f>
        <v>6.73</v>
      </c>
      <c r="G19" s="110" t="s">
        <v>35</v>
      </c>
      <c r="H19" s="177">
        <f t="shared" ref="H19" si="2">SUM($J$7)</f>
        <v>82.5</v>
      </c>
      <c r="I19" s="103" t="s">
        <v>36</v>
      </c>
      <c r="J19" s="93">
        <v>151.66999999999999</v>
      </c>
      <c r="K19" s="106" t="s">
        <v>38</v>
      </c>
      <c r="L19" s="94">
        <f>C19*F19*H19/J19</f>
        <v>0</v>
      </c>
      <c r="M19" s="108" t="s">
        <v>40</v>
      </c>
    </row>
    <row r="20" spans="1:14" ht="30" customHeight="1" thickBot="1">
      <c r="A20" s="26"/>
      <c r="B20" s="111" t="s">
        <v>50</v>
      </c>
      <c r="C20" s="189"/>
      <c r="D20" s="189"/>
      <c r="E20" s="189"/>
      <c r="F20" s="189"/>
      <c r="G20" s="190"/>
      <c r="H20" s="190"/>
      <c r="I20" s="190"/>
      <c r="J20" s="191"/>
      <c r="K20" s="112" t="s">
        <v>51</v>
      </c>
      <c r="L20" s="137">
        <f>SUM(L11:L19)</f>
        <v>1044.3672117096332</v>
      </c>
      <c r="M20" s="113" t="s">
        <v>40</v>
      </c>
    </row>
    <row r="21" spans="1:14" ht="40.15" customHeight="1" thickTop="1">
      <c r="A21" s="27"/>
      <c r="B21" s="28"/>
      <c r="C21" s="29"/>
      <c r="D21" s="29"/>
      <c r="E21" s="29"/>
      <c r="F21" s="29"/>
      <c r="G21" s="29"/>
      <c r="H21" s="29"/>
      <c r="I21" s="29"/>
      <c r="J21" s="192" t="s">
        <v>52</v>
      </c>
      <c r="K21" s="192"/>
      <c r="L21" s="192"/>
      <c r="M21" s="192"/>
      <c r="N21" s="30"/>
    </row>
    <row r="23" spans="1:14">
      <c r="A23" s="31"/>
      <c r="B23" s="31"/>
      <c r="C23" s="32"/>
      <c r="D23" s="31"/>
      <c r="E23" s="31"/>
      <c r="F23" s="31"/>
      <c r="G23" s="31"/>
      <c r="H23" s="31"/>
    </row>
    <row r="24" spans="1:14">
      <c r="A24" s="33"/>
      <c r="B24" s="34" t="s">
        <v>53</v>
      </c>
      <c r="C24" s="7" t="s">
        <v>54</v>
      </c>
      <c r="D24" s="182" t="s">
        <v>55</v>
      </c>
      <c r="E24" s="183"/>
      <c r="F24" s="182" t="s">
        <v>56</v>
      </c>
      <c r="G24" s="183"/>
      <c r="H24" s="31"/>
    </row>
    <row r="25" spans="1:14">
      <c r="A25" s="31"/>
      <c r="B25" s="33"/>
      <c r="C25" s="32"/>
      <c r="D25" s="33" t="s">
        <v>57</v>
      </c>
      <c r="E25" s="33" t="s">
        <v>58</v>
      </c>
      <c r="F25" s="33" t="s">
        <v>57</v>
      </c>
      <c r="G25" s="33" t="s">
        <v>58</v>
      </c>
      <c r="H25" s="31"/>
    </row>
    <row r="26" spans="1:14">
      <c r="A26" s="31"/>
      <c r="B26" s="35" t="s">
        <v>59</v>
      </c>
      <c r="C26" s="138">
        <f>$D$64</f>
        <v>1044.3672117096332</v>
      </c>
      <c r="D26" s="139">
        <f>IF(C3="OUI",Paramètres!C20,0)</f>
        <v>0</v>
      </c>
      <c r="E26" s="140">
        <f>D26*C26/100</f>
        <v>0</v>
      </c>
      <c r="F26" s="139">
        <f>IF($D$64&lt;(Smic_horaire*2.4721*J7),7,13)</f>
        <v>7</v>
      </c>
      <c r="G26" s="140">
        <f t="shared" ref="G26:G42" si="3">F26*C26/100</f>
        <v>73.10570481967433</v>
      </c>
      <c r="H26" s="31"/>
    </row>
    <row r="27" spans="1:14">
      <c r="A27" s="33"/>
      <c r="B27" s="35" t="s">
        <v>60</v>
      </c>
      <c r="C27" s="138">
        <f>$D$64</f>
        <v>1044.3672117096332</v>
      </c>
      <c r="D27" s="139">
        <v>0.56999999999999995</v>
      </c>
      <c r="E27" s="140">
        <f>D27*C27/100</f>
        <v>5.9528931067449093</v>
      </c>
      <c r="F27" s="139">
        <v>0.56999999999999995</v>
      </c>
      <c r="G27" s="140">
        <f t="shared" si="3"/>
        <v>5.9528931067449093</v>
      </c>
      <c r="H27" s="31"/>
    </row>
    <row r="28" spans="1:14">
      <c r="A28" s="33"/>
      <c r="B28" s="35" t="s">
        <v>61</v>
      </c>
      <c r="C28" s="51">
        <f>PMSS</f>
        <v>3925</v>
      </c>
      <c r="D28" s="52">
        <f>0.97/2</f>
        <v>0.48499999999999999</v>
      </c>
      <c r="E28" s="53">
        <f t="shared" ref="E28:E36" si="4">D28*C28/100</f>
        <v>19.036249999999999</v>
      </c>
      <c r="F28" s="52">
        <f>0.97/2</f>
        <v>0.48499999999999999</v>
      </c>
      <c r="G28" s="53">
        <f t="shared" si="3"/>
        <v>19.036249999999999</v>
      </c>
      <c r="H28" s="31"/>
    </row>
    <row r="29" spans="1:14">
      <c r="A29" s="33"/>
      <c r="B29" s="35" t="s">
        <v>62</v>
      </c>
      <c r="C29" s="36">
        <f>$D$64</f>
        <v>1044.3672117096332</v>
      </c>
      <c r="D29" s="5">
        <v>0</v>
      </c>
      <c r="E29" s="6">
        <f t="shared" si="4"/>
        <v>0</v>
      </c>
      <c r="F29" s="52">
        <v>1.3</v>
      </c>
      <c r="G29" s="6">
        <f t="shared" si="3"/>
        <v>13.576773752225233</v>
      </c>
      <c r="H29" s="31"/>
    </row>
    <row r="30" spans="1:14">
      <c r="A30" s="33"/>
      <c r="B30" s="35" t="s">
        <v>63</v>
      </c>
      <c r="C30" s="36">
        <f>C70</f>
        <v>1044.3672117096332</v>
      </c>
      <c r="D30" s="139">
        <v>6.9</v>
      </c>
      <c r="E30" s="140">
        <f t="shared" si="4"/>
        <v>72.061337607964703</v>
      </c>
      <c r="F30" s="139">
        <v>8.5500000000000007</v>
      </c>
      <c r="G30" s="140">
        <f t="shared" si="3"/>
        <v>89.29339660117364</v>
      </c>
      <c r="H30" s="31"/>
    </row>
    <row r="31" spans="1:14">
      <c r="A31" s="31"/>
      <c r="B31" s="35" t="s">
        <v>64</v>
      </c>
      <c r="C31" s="36">
        <f>$D$64</f>
        <v>1044.3672117096332</v>
      </c>
      <c r="D31" s="139">
        <v>0.4</v>
      </c>
      <c r="E31" s="140">
        <f t="shared" si="4"/>
        <v>4.1774688468385328</v>
      </c>
      <c r="F31" s="139">
        <v>2.02</v>
      </c>
      <c r="G31" s="140">
        <f t="shared" si="3"/>
        <v>21.096217676534593</v>
      </c>
      <c r="H31" s="31"/>
    </row>
    <row r="32" spans="1:14">
      <c r="A32" s="37"/>
      <c r="B32" s="35" t="s">
        <v>65</v>
      </c>
      <c r="C32" s="36">
        <f>C70</f>
        <v>1044.3672117096332</v>
      </c>
      <c r="D32" s="52">
        <v>5.08</v>
      </c>
      <c r="E32" s="6">
        <f t="shared" si="4"/>
        <v>53.053854354849371</v>
      </c>
      <c r="F32" s="52">
        <v>5.08</v>
      </c>
      <c r="G32" s="6">
        <f t="shared" si="3"/>
        <v>53.053854354849371</v>
      </c>
      <c r="H32" s="31"/>
    </row>
    <row r="33" spans="1:13">
      <c r="A33" s="31"/>
      <c r="B33" s="35" t="s">
        <v>66</v>
      </c>
      <c r="C33" s="138">
        <f>MAX(C72,0)</f>
        <v>0</v>
      </c>
      <c r="D33" s="139">
        <v>8.64</v>
      </c>
      <c r="E33" s="140">
        <f t="shared" si="4"/>
        <v>0</v>
      </c>
      <c r="F33" s="139">
        <v>12.95</v>
      </c>
      <c r="G33" s="140">
        <f t="shared" si="3"/>
        <v>0</v>
      </c>
      <c r="H33" s="31"/>
    </row>
    <row r="34" spans="1:13">
      <c r="A34" s="33"/>
      <c r="B34" s="35" t="s">
        <v>67</v>
      </c>
      <c r="C34" s="138">
        <f>C70</f>
        <v>1044.3672117096332</v>
      </c>
      <c r="D34" s="139">
        <v>0.86</v>
      </c>
      <c r="E34" s="140">
        <f t="shared" si="4"/>
        <v>8.9815580207028454</v>
      </c>
      <c r="F34" s="139">
        <v>1.29</v>
      </c>
      <c r="G34" s="140">
        <f t="shared" si="3"/>
        <v>13.47233703105427</v>
      </c>
      <c r="H34" s="31"/>
    </row>
    <row r="35" spans="1:13">
      <c r="A35" s="31"/>
      <c r="B35" s="35" t="s">
        <v>68</v>
      </c>
      <c r="C35" s="138">
        <f>MAX(C72,0)</f>
        <v>0</v>
      </c>
      <c r="D35" s="139">
        <v>1.08</v>
      </c>
      <c r="E35" s="140">
        <f t="shared" si="4"/>
        <v>0</v>
      </c>
      <c r="F35" s="139">
        <v>1.62</v>
      </c>
      <c r="G35" s="140">
        <f t="shared" si="3"/>
        <v>0</v>
      </c>
      <c r="H35" s="31"/>
    </row>
    <row r="36" spans="1:13">
      <c r="A36" s="31"/>
      <c r="B36" s="35" t="s">
        <v>69</v>
      </c>
      <c r="C36" s="138">
        <f>IF(D64&lt;=C70,0,D64)</f>
        <v>0</v>
      </c>
      <c r="D36" s="139">
        <v>0.14000000000000001</v>
      </c>
      <c r="E36" s="140">
        <f t="shared" si="4"/>
        <v>0</v>
      </c>
      <c r="F36" s="139">
        <v>0.21</v>
      </c>
      <c r="G36" s="140">
        <f t="shared" si="3"/>
        <v>0</v>
      </c>
      <c r="H36" s="31"/>
    </row>
    <row r="37" spans="1:13">
      <c r="A37" s="33"/>
      <c r="B37" s="35" t="s">
        <v>70</v>
      </c>
      <c r="C37" s="180">
        <f>D64</f>
        <v>1044.3672117096332</v>
      </c>
      <c r="D37" s="139"/>
      <c r="E37" s="140"/>
      <c r="F37" s="139">
        <f>IF($D$64&lt;(3.4609*Smic_horaire*J7),3.45,5.25)</f>
        <v>3.45</v>
      </c>
      <c r="G37" s="140">
        <f t="shared" si="3"/>
        <v>36.030668803982351</v>
      </c>
      <c r="H37" s="31"/>
    </row>
    <row r="38" spans="1:13">
      <c r="A38" s="33"/>
      <c r="B38" s="35" t="s">
        <v>71</v>
      </c>
      <c r="C38" s="138">
        <f>C73</f>
        <v>1044.3672117096332</v>
      </c>
      <c r="D38" s="139">
        <v>0</v>
      </c>
      <c r="E38" s="140"/>
      <c r="F38" s="139">
        <v>4.05</v>
      </c>
      <c r="G38" s="140">
        <f t="shared" si="3"/>
        <v>42.296872074240149</v>
      </c>
      <c r="H38" s="31"/>
    </row>
    <row r="39" spans="1:13">
      <c r="A39" s="33"/>
      <c r="B39" s="35" t="s">
        <v>72</v>
      </c>
      <c r="C39" s="138">
        <f>C73</f>
        <v>1044.3672117096332</v>
      </c>
      <c r="D39" s="139"/>
      <c r="E39" s="140"/>
      <c r="F39" s="139">
        <v>0.25</v>
      </c>
      <c r="G39" s="140">
        <f t="shared" si="3"/>
        <v>2.610918029274083</v>
      </c>
      <c r="H39" s="31"/>
    </row>
    <row r="40" spans="1:13" ht="18" customHeight="1">
      <c r="A40" s="33"/>
      <c r="B40" s="60" t="s">
        <v>73</v>
      </c>
      <c r="C40" s="36">
        <f>IF(C2&lt;11,0,D64)</f>
        <v>0</v>
      </c>
      <c r="D40" s="5"/>
      <c r="E40" s="33"/>
      <c r="F40" s="52">
        <v>1.3</v>
      </c>
      <c r="G40" s="6">
        <f t="shared" si="3"/>
        <v>0</v>
      </c>
      <c r="H40" s="31"/>
    </row>
    <row r="41" spans="1:13">
      <c r="A41" s="33"/>
      <c r="B41" s="35" t="s">
        <v>74</v>
      </c>
      <c r="C41" s="36">
        <f>D64</f>
        <v>1044.3672117096332</v>
      </c>
      <c r="D41" s="5"/>
      <c r="E41" s="33"/>
      <c r="F41" s="5">
        <v>0.3</v>
      </c>
      <c r="G41" s="6">
        <f t="shared" si="3"/>
        <v>3.1331016351288996</v>
      </c>
      <c r="H41" s="31"/>
    </row>
    <row r="42" spans="1:13">
      <c r="A42" s="33"/>
      <c r="B42" s="35" t="s">
        <v>75</v>
      </c>
      <c r="C42" s="36">
        <f>IF(C2&lt;50,C70,D64)</f>
        <v>1044.3672117096332</v>
      </c>
      <c r="D42" s="5"/>
      <c r="E42" s="33"/>
      <c r="F42" s="5">
        <f>IF(C2&lt;50,0.1,0.5)</f>
        <v>0.1</v>
      </c>
      <c r="G42" s="6">
        <f t="shared" si="3"/>
        <v>1.0443672117096332</v>
      </c>
      <c r="H42" s="38"/>
    </row>
    <row r="43" spans="1:13">
      <c r="A43" s="33"/>
      <c r="B43" s="35" t="s">
        <v>76</v>
      </c>
      <c r="C43" s="36">
        <f>$D$64</f>
        <v>1044.3672117096332</v>
      </c>
      <c r="D43" s="5"/>
      <c r="E43" s="6"/>
      <c r="F43" s="5">
        <v>1.6E-2</v>
      </c>
      <c r="G43" s="6">
        <f>F43*C43/100</f>
        <v>0.16709875387354131</v>
      </c>
      <c r="H43" s="31"/>
    </row>
    <row r="44" spans="1:13">
      <c r="A44" s="33"/>
      <c r="B44" s="35" t="s">
        <v>77</v>
      </c>
      <c r="C44" s="138">
        <f>IF(C2&lt;11,0,(0.55%*C27+G28))</f>
        <v>0</v>
      </c>
      <c r="D44" s="139"/>
      <c r="E44" s="140"/>
      <c r="F44" s="139">
        <v>8</v>
      </c>
      <c r="G44" s="140">
        <f>F44*C44/100</f>
        <v>0</v>
      </c>
      <c r="H44" s="31"/>
    </row>
    <row r="45" spans="1:13" ht="20.25">
      <c r="A45" s="39"/>
      <c r="B45" s="35" t="s">
        <v>78</v>
      </c>
      <c r="C45" s="138">
        <f>$D$64</f>
        <v>1044.3672117096332</v>
      </c>
      <c r="D45" s="139"/>
      <c r="E45" s="181"/>
      <c r="F45" s="139">
        <f>IF(C2&lt;11,0.55,1)</f>
        <v>0.55000000000000004</v>
      </c>
      <c r="G45" s="140">
        <f t="shared" ref="G45:G54" si="5">F45*C45/100</f>
        <v>5.7440196644029831</v>
      </c>
      <c r="H45" s="31"/>
      <c r="J45" s="217" t="s">
        <v>79</v>
      </c>
      <c r="K45" s="217"/>
      <c r="L45" s="217"/>
      <c r="M45" s="217"/>
    </row>
    <row r="46" spans="1:13">
      <c r="A46" s="39"/>
      <c r="B46" s="35" t="s">
        <v>80</v>
      </c>
      <c r="C46" s="138">
        <f>$D$64</f>
        <v>1044.3672117096332</v>
      </c>
      <c r="D46" s="139"/>
      <c r="E46" s="181"/>
      <c r="F46" s="139">
        <f>IF(C2&lt;11,1.55,1.1)</f>
        <v>1.55</v>
      </c>
      <c r="G46" s="140">
        <f t="shared" si="5"/>
        <v>16.187691781499314</v>
      </c>
      <c r="H46" s="31"/>
      <c r="J46" s="218"/>
      <c r="K46" s="218"/>
      <c r="L46" s="218"/>
    </row>
    <row r="47" spans="1:13">
      <c r="A47" s="39"/>
      <c r="B47" s="35"/>
      <c r="C47" s="36"/>
      <c r="D47" s="5"/>
      <c r="E47" s="33"/>
      <c r="F47" s="5"/>
      <c r="G47" s="6"/>
      <c r="H47" s="31"/>
    </row>
    <row r="48" spans="1:13" ht="13.15" customHeight="1">
      <c r="A48" s="39"/>
      <c r="B48" s="35" t="s">
        <v>81</v>
      </c>
      <c r="C48" s="36">
        <f>$D$64</f>
        <v>1044.3672117096332</v>
      </c>
      <c r="D48" s="5"/>
      <c r="E48" s="33"/>
      <c r="F48" s="5">
        <v>0.1</v>
      </c>
      <c r="G48" s="6">
        <f t="shared" si="5"/>
        <v>1.0443672117096332</v>
      </c>
      <c r="H48" s="31"/>
      <c r="J48" s="186" t="s">
        <v>82</v>
      </c>
      <c r="K48" s="186"/>
      <c r="L48" s="186"/>
      <c r="M48" s="142">
        <f>(G52+G53+G54)</f>
        <v>59.08753591679308</v>
      </c>
    </row>
    <row r="49" spans="1:13" ht="24.6" customHeight="1">
      <c r="A49" s="33"/>
      <c r="B49" s="60" t="s">
        <v>83</v>
      </c>
      <c r="C49" s="36">
        <f>D64</f>
        <v>1044.3672117096332</v>
      </c>
      <c r="D49" s="5"/>
      <c r="E49" s="6"/>
      <c r="F49" s="5">
        <f>IF(C2&lt;50,0,0.45)</f>
        <v>0</v>
      </c>
      <c r="G49" s="6">
        <f t="shared" si="5"/>
        <v>0</v>
      </c>
      <c r="H49" s="38"/>
      <c r="J49" s="186"/>
      <c r="K49" s="186"/>
      <c r="L49" s="186"/>
      <c r="M49" s="142"/>
    </row>
    <row r="50" spans="1:13" ht="13.15" customHeight="1">
      <c r="A50" s="39"/>
      <c r="B50" s="35" t="s">
        <v>84</v>
      </c>
      <c r="C50" s="36">
        <f>98.25%*$D$64+$C$27*0.55%+$G$28</f>
        <v>1050.8710551691177</v>
      </c>
      <c r="D50" s="5">
        <v>6.8</v>
      </c>
      <c r="E50" s="6">
        <f>D50*C50/100</f>
        <v>71.459231751499999</v>
      </c>
      <c r="F50" s="5"/>
      <c r="G50" s="6"/>
      <c r="H50" s="31"/>
      <c r="J50" s="186"/>
      <c r="K50" s="186"/>
      <c r="L50" s="186"/>
      <c r="M50" s="141"/>
    </row>
    <row r="51" spans="1:13" ht="13.15" customHeight="1">
      <c r="A51" s="39"/>
      <c r="B51" s="35" t="s">
        <v>85</v>
      </c>
      <c r="C51" s="36">
        <f>98.25%*$D$64+$C$27*0.55%+$G$28</f>
        <v>1050.8710551691177</v>
      </c>
      <c r="D51" s="5">
        <v>2.9</v>
      </c>
      <c r="E51" s="6">
        <f>D51*C51/100</f>
        <v>30.475260599904409</v>
      </c>
      <c r="F51" s="5"/>
      <c r="G51" s="6"/>
      <c r="H51" s="31"/>
      <c r="J51" s="186" t="s">
        <v>86</v>
      </c>
      <c r="K51" s="186"/>
      <c r="L51" s="186"/>
      <c r="M51" s="142">
        <f>D64</f>
        <v>1044.3672117096332</v>
      </c>
    </row>
    <row r="52" spans="1:13" ht="12.6" customHeight="1">
      <c r="A52" s="33"/>
      <c r="B52" s="40" t="s">
        <v>87</v>
      </c>
      <c r="C52" s="36">
        <f>$D$64+C27*0.55%+G28</f>
        <v>1069.1474813740363</v>
      </c>
      <c r="D52" s="5"/>
      <c r="E52" s="6"/>
      <c r="F52" s="5">
        <v>4.25</v>
      </c>
      <c r="G52" s="6">
        <f t="shared" si="5"/>
        <v>45.438767958396539</v>
      </c>
      <c r="H52" s="31"/>
      <c r="J52" s="187" t="s">
        <v>88</v>
      </c>
      <c r="K52" s="187"/>
      <c r="L52" s="187"/>
      <c r="M52" s="188">
        <f>F64-M48</f>
        <v>118.00048698160484</v>
      </c>
    </row>
    <row r="53" spans="1:13" ht="13.15" customHeight="1">
      <c r="A53" s="33"/>
      <c r="B53" s="40" t="s">
        <v>89</v>
      </c>
      <c r="C53" s="36">
        <f>IF(C52&gt;=tranche_1_taxe_salaire,IF(C52&gt;=tranche_2_taxe_salaire,tranche_2_taxe_salaire-tranche_1_taxe_salaire,C52-tranche_1_taxe_salaire),0)</f>
        <v>321.14748137403626</v>
      </c>
      <c r="D53" s="5"/>
      <c r="E53" s="6"/>
      <c r="F53" s="5">
        <v>4.25</v>
      </c>
      <c r="G53" s="6">
        <f t="shared" si="5"/>
        <v>13.64876795839654</v>
      </c>
      <c r="H53" s="31"/>
      <c r="J53" s="187"/>
      <c r="K53" s="187"/>
      <c r="L53" s="187"/>
      <c r="M53" s="188"/>
    </row>
    <row r="54" spans="1:13" ht="13.15" customHeight="1">
      <c r="A54" s="33"/>
      <c r="B54" s="40" t="s">
        <v>90</v>
      </c>
      <c r="C54" s="36">
        <f>IF(C52&gt;tranche_2_taxe_salaire,C52-tranche_2_taxe_salaire,0)</f>
        <v>0</v>
      </c>
      <c r="D54" s="5"/>
      <c r="E54" s="6"/>
      <c r="F54" s="5">
        <v>9.35</v>
      </c>
      <c r="G54" s="6">
        <f t="shared" si="5"/>
        <v>0</v>
      </c>
      <c r="H54" s="31"/>
      <c r="J54" s="186" t="s">
        <v>91</v>
      </c>
      <c r="K54" s="186"/>
      <c r="L54" s="186"/>
      <c r="M54" s="142">
        <f>(E57+G58)</f>
        <v>114</v>
      </c>
    </row>
    <row r="55" spans="1:13" ht="13.15" customHeight="1">
      <c r="A55" s="33"/>
      <c r="B55" s="41" t="s">
        <v>92</v>
      </c>
      <c r="C55" s="159">
        <f>D64</f>
        <v>1044.3672117096332</v>
      </c>
      <c r="D55" s="160"/>
      <c r="E55" s="161"/>
      <c r="F55" s="160">
        <f>IF(C2&lt;50,-C77,-C78)</f>
        <v>-0.26700000000000002</v>
      </c>
      <c r="G55" s="161">
        <f>IF(F55&gt;0,0,C55*F55)</f>
        <v>-278.8460455264721</v>
      </c>
      <c r="H55" s="38"/>
      <c r="J55" s="186"/>
      <c r="K55" s="186"/>
      <c r="L55" s="186"/>
      <c r="M55" s="142"/>
    </row>
    <row r="56" spans="1:13" ht="15">
      <c r="A56" s="42"/>
      <c r="B56" s="63" t="s">
        <v>93</v>
      </c>
      <c r="C56" s="7"/>
      <c r="D56" s="12"/>
      <c r="E56" s="10">
        <f>SUM(E26:E55)</f>
        <v>265.19785428850474</v>
      </c>
      <c r="F56" s="9"/>
      <c r="G56" s="10">
        <f>SUM(G26:G55)</f>
        <v>177.08802289839792</v>
      </c>
      <c r="H56" s="44"/>
      <c r="J56" s="186"/>
      <c r="K56" s="186"/>
      <c r="L56" s="186"/>
      <c r="M56" s="142"/>
    </row>
    <row r="57" spans="1:13">
      <c r="A57" s="42"/>
      <c r="B57" s="12" t="s">
        <v>94</v>
      </c>
      <c r="C57" s="54">
        <v>75</v>
      </c>
      <c r="D57" s="8"/>
      <c r="E57" s="9">
        <f>IF(J7&lt;17.5,C57/2*J7/17.5,C57*50%)</f>
        <v>37.5</v>
      </c>
      <c r="F57" s="9"/>
      <c r="G57" s="10"/>
      <c r="H57" s="31"/>
      <c r="J57" s="184" t="s">
        <v>95</v>
      </c>
      <c r="K57" s="184"/>
      <c r="L57" s="184"/>
      <c r="M57" s="143">
        <f>SUM(M48:M56)</f>
        <v>1335.4552346080311</v>
      </c>
    </row>
    <row r="58" spans="1:13">
      <c r="A58" s="42"/>
      <c r="B58" s="61" t="s">
        <v>96</v>
      </c>
      <c r="C58" s="62">
        <v>127.5</v>
      </c>
      <c r="D58" s="55">
        <v>0.4</v>
      </c>
      <c r="E58" s="11">
        <f>-C58*D58</f>
        <v>-51</v>
      </c>
      <c r="F58" s="56">
        <v>0.6</v>
      </c>
      <c r="G58" s="12">
        <f>C58*F58</f>
        <v>76.5</v>
      </c>
      <c r="H58" s="31"/>
    </row>
    <row r="59" spans="1:13" ht="15">
      <c r="B59" s="63" t="s">
        <v>97</v>
      </c>
      <c r="C59" s="158">
        <f>D64-E56</f>
        <v>779.16935742112855</v>
      </c>
      <c r="D59" s="42"/>
      <c r="E59" s="42"/>
      <c r="F59" s="42"/>
      <c r="G59" s="42"/>
      <c r="H59" s="31"/>
    </row>
    <row r="60" spans="1:13" ht="15">
      <c r="B60" s="63" t="s">
        <v>98</v>
      </c>
      <c r="C60" s="158">
        <f>D64-E56+E51+G28</f>
        <v>828.68086802103301</v>
      </c>
      <c r="D60" s="42"/>
      <c r="E60" s="42"/>
      <c r="F60" s="42"/>
      <c r="G60" s="42"/>
      <c r="H60" s="31"/>
    </row>
    <row r="61" spans="1:13">
      <c r="B61" s="45"/>
      <c r="C61" s="46"/>
      <c r="D61" s="42"/>
      <c r="E61" s="42"/>
      <c r="F61" s="42"/>
      <c r="G61" s="42"/>
      <c r="H61" s="31"/>
    </row>
    <row r="62" spans="1:13">
      <c r="A62" s="42"/>
      <c r="C62" s="46"/>
      <c r="D62" s="42"/>
      <c r="E62" s="42"/>
      <c r="F62" s="42"/>
      <c r="G62" s="42"/>
      <c r="H62" s="31"/>
    </row>
    <row r="63" spans="1:13" ht="38.25">
      <c r="B63" s="47"/>
      <c r="C63" s="45" t="s">
        <v>99</v>
      </c>
      <c r="D63" s="144" t="s">
        <v>100</v>
      </c>
      <c r="E63" s="145" t="s">
        <v>101</v>
      </c>
      <c r="F63" s="146" t="s">
        <v>102</v>
      </c>
      <c r="G63" s="147" t="s">
        <v>103</v>
      </c>
      <c r="H63" s="31"/>
    </row>
    <row r="64" spans="1:13">
      <c r="A64" s="31"/>
      <c r="B64" s="47"/>
      <c r="C64" s="48"/>
      <c r="D64" s="148">
        <f>L20</f>
        <v>1044.3672117096332</v>
      </c>
      <c r="E64" s="149">
        <f>D64-E56+E57+E58</f>
        <v>765.66935742112855</v>
      </c>
      <c r="F64" s="148">
        <f>G56</f>
        <v>177.08802289839792</v>
      </c>
      <c r="G64" s="149">
        <f>F64+D64+E57+G58</f>
        <v>1335.4552346080311</v>
      </c>
      <c r="H64" s="31"/>
    </row>
    <row r="65" spans="1:8">
      <c r="A65" s="31"/>
      <c r="B65" s="31"/>
      <c r="C65" s="32"/>
      <c r="D65" s="31"/>
      <c r="E65" s="31"/>
      <c r="F65" s="31"/>
      <c r="G65" s="31"/>
      <c r="H65" s="31"/>
    </row>
    <row r="66" spans="1:8">
      <c r="A66" s="31"/>
      <c r="B66" s="31"/>
      <c r="C66" s="32"/>
      <c r="D66" s="31"/>
      <c r="E66" s="31"/>
      <c r="F66" s="31"/>
      <c r="G66" s="31"/>
      <c r="H66" s="31"/>
    </row>
    <row r="67" spans="1:8" ht="15.75">
      <c r="B67" s="150" t="s">
        <v>104</v>
      </c>
      <c r="C67" s="151"/>
      <c r="D67" s="31"/>
      <c r="E67" s="49"/>
      <c r="F67" s="31"/>
      <c r="G67" s="31"/>
      <c r="H67" s="31"/>
    </row>
    <row r="68" spans="1:8">
      <c r="B68" s="152" t="s">
        <v>3</v>
      </c>
      <c r="C68" s="153">
        <f>PMSS</f>
        <v>3925</v>
      </c>
      <c r="D68" s="31"/>
      <c r="E68" s="31"/>
      <c r="F68" s="31"/>
      <c r="G68" s="31"/>
      <c r="H68" s="31"/>
    </row>
    <row r="69" spans="1:8">
      <c r="B69" s="154" t="s">
        <v>105</v>
      </c>
      <c r="C69" s="155">
        <f>J7/151.67</f>
        <v>0.54394408914089809</v>
      </c>
    </row>
    <row r="70" spans="1:8">
      <c r="B70" s="154" t="s">
        <v>106</v>
      </c>
      <c r="C70" s="155">
        <f>IF(D64&lt;=C68*C69,D64,C68*C69)</f>
        <v>1044.3672117096332</v>
      </c>
    </row>
    <row r="71" spans="1:8">
      <c r="B71" s="154" t="s">
        <v>107</v>
      </c>
      <c r="C71" s="155">
        <f>IF(D64&lt;=C68*4*C69,D64-C68*C69,C68*4*C69)</f>
        <v>-1090.6133381683919</v>
      </c>
    </row>
    <row r="72" spans="1:8">
      <c r="B72" s="154" t="s">
        <v>108</v>
      </c>
      <c r="C72" s="155">
        <f>IF(D64&lt;=C68*8*C69,D64-C68*C69,C68*8*C69)</f>
        <v>-1090.6133381683919</v>
      </c>
    </row>
    <row r="73" spans="1:8">
      <c r="B73" s="154" t="s">
        <v>109</v>
      </c>
      <c r="C73" s="155">
        <f>IF(D64&lt;=C68*4*C69,D64,C68*5*C69)</f>
        <v>1044.3672117096332</v>
      </c>
    </row>
    <row r="74" spans="1:8">
      <c r="B74" s="154" t="s">
        <v>110</v>
      </c>
      <c r="C74" s="155">
        <f>IF(D64&lt;=C68*8*C69,D64-C68*C69,C68*8*C69)</f>
        <v>-1090.6133381683919</v>
      </c>
    </row>
    <row r="75" spans="1:8">
      <c r="B75" s="154" t="s">
        <v>111</v>
      </c>
      <c r="C75" s="155">
        <f>IF(D64&lt;=C68*8*C69,D64,C68*8*C69)</f>
        <v>1044.3672117096332</v>
      </c>
    </row>
    <row r="76" spans="1:8">
      <c r="B76" s="154"/>
      <c r="C76" s="156"/>
    </row>
    <row r="77" spans="1:8">
      <c r="B77" s="154" t="s">
        <v>112</v>
      </c>
      <c r="C77" s="156">
        <f>ROUND(Paramètre_T_coef_fillon___50_ETP*((1.6*J7*Smic_horaire/D64)-1),3)</f>
        <v>0.26700000000000002</v>
      </c>
    </row>
    <row r="78" spans="1:8">
      <c r="B78" s="154" t="s">
        <v>113</v>
      </c>
      <c r="C78" s="157">
        <f>ROUND(Paramètre_T_coeff_fillon_50_et*((1.6*J7*Smic_horaire/D64)-1),3)</f>
        <v>0.27</v>
      </c>
    </row>
  </sheetData>
  <sheetProtection sheet="1" objects="1" scenarios="1"/>
  <mergeCells count="31">
    <mergeCell ref="A1:A14"/>
    <mergeCell ref="B1:N1"/>
    <mergeCell ref="B4:M4"/>
    <mergeCell ref="B5:M5"/>
    <mergeCell ref="C7:E7"/>
    <mergeCell ref="J7:K7"/>
    <mergeCell ref="D8:E8"/>
    <mergeCell ref="H8:I8"/>
    <mergeCell ref="G9:I9"/>
    <mergeCell ref="L9:M9"/>
    <mergeCell ref="F6:I6"/>
    <mergeCell ref="F7:I7"/>
    <mergeCell ref="J6:K6"/>
    <mergeCell ref="H10:I10"/>
    <mergeCell ref="L10:M10"/>
    <mergeCell ref="J55:L55"/>
    <mergeCell ref="J56:L56"/>
    <mergeCell ref="J57:L57"/>
    <mergeCell ref="J45:M45"/>
    <mergeCell ref="J46:L46"/>
    <mergeCell ref="J48:L48"/>
    <mergeCell ref="J49:L49"/>
    <mergeCell ref="J50:L50"/>
    <mergeCell ref="J51:L51"/>
    <mergeCell ref="J52:L53"/>
    <mergeCell ref="M52:M53"/>
    <mergeCell ref="C20:J20"/>
    <mergeCell ref="J21:M21"/>
    <mergeCell ref="D24:E24"/>
    <mergeCell ref="F24:G24"/>
    <mergeCell ref="J54:L54"/>
  </mergeCells>
  <dataValidations count="3">
    <dataValidation type="list" allowBlank="1" showInputMessage="1" showErrorMessage="1" sqref="C6" xr:uid="{30A8794A-46F0-41FC-A11F-8655E3B00B02}">
      <formula1>"0,1,2,3,4,5,6,7,8,9,10,11,12,13,14,15,16,17,18,19,20,21,22,23,24,25,26,27,28,29,30"</formula1>
    </dataValidation>
    <dataValidation type="list" allowBlank="1" showInputMessage="1" showErrorMessage="1" sqref="D8:E8" xr:uid="{D3E8C172-E52F-4628-90E1-38BC9C9E260B}">
      <formula1>"A,B,C,D,E,F"</formula1>
    </dataValidation>
    <dataValidation type="list" allowBlank="1" showInputMessage="1" showErrorMessage="1" sqref="C3" xr:uid="{E881678D-F6A6-405D-BA7B-6BBF548C6244}">
      <formula1>"OUI,NON"</formula1>
    </dataValidation>
  </dataValidations>
  <pageMargins left="0.70866141732283472" right="0.70866141732283472" top="0.74803149606299213" bottom="0.74803149606299213" header="0.31496062992125984" footer="0.31496062992125984"/>
  <pageSetup paperSize="9" scale="75" orientation="landscape" r:id="rId1"/>
  <colBreaks count="1" manualBreakCount="1">
    <brk id="14" max="1048575"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BC2B3-4E12-4F51-BA35-87E2C0E7BB1E}">
  <dimension ref="A1:P79"/>
  <sheetViews>
    <sheetView tabSelected="1" zoomScale="85" zoomScaleNormal="85" workbookViewId="0">
      <selection activeCell="L64" sqref="L64"/>
    </sheetView>
  </sheetViews>
  <sheetFormatPr baseColWidth="10" defaultColWidth="9.33203125" defaultRowHeight="12.75"/>
  <cols>
    <col min="1" max="1" width="10.6640625" style="16" customWidth="1"/>
    <col min="2" max="2" width="51.1640625" style="16" customWidth="1"/>
    <col min="3" max="3" width="13.6640625" style="50" bestFit="1" customWidth="1"/>
    <col min="4" max="4" width="18.1640625" style="16" customWidth="1"/>
    <col min="5" max="5" width="13.5" style="16" customWidth="1"/>
    <col min="6" max="6" width="10.83203125" style="16" customWidth="1"/>
    <col min="7" max="7" width="12" style="16" customWidth="1"/>
    <col min="8" max="8" width="14" style="16" customWidth="1"/>
    <col min="9" max="9" width="9.83203125" style="16" customWidth="1"/>
    <col min="10" max="10" width="10.33203125" style="16" customWidth="1"/>
    <col min="11" max="11" width="9" style="16" customWidth="1"/>
    <col min="12" max="12" width="24.5" style="16" customWidth="1"/>
    <col min="13" max="13" width="14" style="16" customWidth="1"/>
    <col min="14" max="14" width="8.33203125" style="16" customWidth="1"/>
    <col min="15" max="15" width="9.33203125" style="16"/>
    <col min="16" max="16" width="12.5" style="16" customWidth="1"/>
    <col min="17" max="16384" width="9.33203125" style="16"/>
  </cols>
  <sheetData>
    <row r="1" spans="1:16" ht="53.25" customHeight="1" thickBot="1">
      <c r="A1" s="193"/>
      <c r="B1" s="195" t="s">
        <v>143</v>
      </c>
      <c r="C1" s="195"/>
      <c r="D1" s="195"/>
      <c r="E1" s="195"/>
      <c r="F1" s="195"/>
      <c r="G1" s="195"/>
      <c r="H1" s="195"/>
      <c r="I1" s="195"/>
      <c r="J1" s="195"/>
      <c r="K1" s="195"/>
      <c r="L1" s="195"/>
      <c r="M1" s="195"/>
      <c r="N1" s="196"/>
      <c r="O1" s="14"/>
      <c r="P1" s="15"/>
    </row>
    <row r="2" spans="1:16" ht="27" customHeight="1" thickBot="1">
      <c r="A2" s="193"/>
      <c r="B2" s="69" t="s">
        <v>18</v>
      </c>
      <c r="C2" s="71">
        <v>5</v>
      </c>
      <c r="D2" s="13"/>
      <c r="E2" s="13"/>
      <c r="F2" s="13"/>
      <c r="G2" s="13"/>
      <c r="H2" s="13"/>
      <c r="I2" s="13"/>
      <c r="J2" s="13"/>
      <c r="K2" s="13"/>
      <c r="L2" s="13"/>
      <c r="M2" s="13"/>
      <c r="N2" s="13"/>
      <c r="O2" s="17"/>
      <c r="P2" s="15"/>
    </row>
    <row r="3" spans="1:16" ht="27" customHeight="1" thickBot="1">
      <c r="A3" s="193"/>
      <c r="B3" s="70" t="s">
        <v>19</v>
      </c>
      <c r="C3" s="72" t="s">
        <v>20</v>
      </c>
      <c r="D3" s="13"/>
      <c r="E3" s="13"/>
      <c r="F3" s="13"/>
      <c r="G3" s="13"/>
      <c r="H3" s="13"/>
      <c r="I3" s="13"/>
      <c r="J3" s="13"/>
      <c r="K3" s="13"/>
      <c r="L3" s="13"/>
      <c r="M3" s="13"/>
      <c r="N3" s="13"/>
      <c r="O3" s="17"/>
      <c r="P3" s="15"/>
    </row>
    <row r="4" spans="1:16" ht="30.6" customHeight="1" thickTop="1" thickBot="1">
      <c r="A4" s="193"/>
      <c r="B4" s="200" t="s">
        <v>21</v>
      </c>
      <c r="C4" s="201"/>
      <c r="D4" s="219"/>
      <c r="E4" s="219"/>
      <c r="F4" s="219"/>
      <c r="G4" s="219"/>
      <c r="H4" s="219"/>
      <c r="I4" s="219"/>
      <c r="J4" s="219"/>
      <c r="K4" s="219"/>
      <c r="L4" s="219"/>
      <c r="M4" s="220"/>
      <c r="N4" s="13"/>
      <c r="O4" s="17"/>
    </row>
    <row r="5" spans="1:16" ht="35.65" customHeight="1" thickTop="1" thickBot="1">
      <c r="A5" s="193"/>
      <c r="B5" s="221"/>
      <c r="C5" s="219"/>
      <c r="D5" s="219"/>
      <c r="E5" s="219"/>
      <c r="F5" s="219"/>
      <c r="G5" s="219"/>
      <c r="H5" s="219"/>
      <c r="I5" s="219"/>
      <c r="J5" s="219"/>
      <c r="K5" s="219"/>
      <c r="L5" s="219"/>
      <c r="M5" s="220"/>
      <c r="N5" s="18"/>
      <c r="O5" s="19"/>
    </row>
    <row r="6" spans="1:16" ht="35.65" customHeight="1" thickBot="1">
      <c r="A6" s="193"/>
      <c r="B6" s="57" t="s">
        <v>22</v>
      </c>
      <c r="C6" s="64">
        <v>0</v>
      </c>
      <c r="D6" s="58"/>
      <c r="E6" s="58"/>
      <c r="F6" s="58"/>
      <c r="G6" s="58"/>
      <c r="H6" s="58"/>
      <c r="I6" s="58"/>
      <c r="J6" s="58"/>
      <c r="K6" s="58"/>
      <c r="L6" s="58"/>
      <c r="M6" s="59"/>
      <c r="N6" s="18"/>
      <c r="O6" s="19"/>
    </row>
    <row r="7" spans="1:16" ht="25.15" customHeight="1" thickBot="1">
      <c r="A7" s="193"/>
      <c r="B7" s="20" t="s">
        <v>23</v>
      </c>
      <c r="C7" s="201"/>
      <c r="D7" s="201"/>
      <c r="E7" s="201"/>
      <c r="F7" s="21" t="s">
        <v>131</v>
      </c>
      <c r="G7" s="21"/>
      <c r="H7" s="21"/>
      <c r="I7" s="21"/>
      <c r="J7" s="203">
        <v>2</v>
      </c>
      <c r="K7" s="204"/>
      <c r="L7" s="21"/>
      <c r="M7" s="22"/>
      <c r="N7" s="19"/>
      <c r="O7" s="19"/>
      <c r="P7" s="23"/>
    </row>
    <row r="8" spans="1:16" ht="25.15" customHeight="1">
      <c r="A8" s="193"/>
      <c r="B8" s="20"/>
      <c r="C8" s="58"/>
      <c r="D8" s="58"/>
      <c r="E8" s="58"/>
      <c r="F8" s="21" t="s">
        <v>132</v>
      </c>
      <c r="G8" s="21"/>
      <c r="H8" s="21"/>
      <c r="I8" s="21"/>
      <c r="J8" s="78">
        <f>J7*(35/IF(D10=1,26,IF(D10=2,24)))</f>
        <v>2.6923076923076925</v>
      </c>
      <c r="K8" s="66"/>
      <c r="L8" s="21"/>
      <c r="M8" s="22"/>
      <c r="N8" s="19"/>
      <c r="O8" s="19"/>
      <c r="P8" s="23"/>
    </row>
    <row r="9" spans="1:16" ht="25.15" customHeight="1" thickBot="1">
      <c r="A9" s="193"/>
      <c r="B9" s="20" t="s">
        <v>144</v>
      </c>
      <c r="C9" s="58"/>
      <c r="D9" s="232" t="s">
        <v>146</v>
      </c>
      <c r="E9" s="232"/>
      <c r="F9" s="21" t="s">
        <v>133</v>
      </c>
      <c r="G9" s="21"/>
      <c r="H9" s="21"/>
      <c r="I9" s="21"/>
      <c r="J9" s="78">
        <f>J8*52/12</f>
        <v>11.666666666666666</v>
      </c>
      <c r="K9" s="66"/>
      <c r="L9" s="21"/>
      <c r="M9" s="22"/>
      <c r="N9" s="19"/>
      <c r="O9" s="19"/>
      <c r="P9" s="23"/>
    </row>
    <row r="10" spans="1:16" ht="25.15" customHeight="1" thickBot="1">
      <c r="A10" s="193"/>
      <c r="B10" s="20" t="s">
        <v>145</v>
      </c>
      <c r="C10" s="24"/>
      <c r="D10" s="230">
        <f>IF(D9="Professeur",2,1)</f>
        <v>1</v>
      </c>
      <c r="E10" s="231"/>
      <c r="F10" s="21" t="s">
        <v>28</v>
      </c>
      <c r="G10" s="21"/>
      <c r="H10" s="207">
        <v>375</v>
      </c>
      <c r="I10" s="208"/>
      <c r="J10" s="21"/>
      <c r="M10" s="22"/>
      <c r="N10" s="19"/>
      <c r="O10" s="19"/>
    </row>
    <row r="11" spans="1:16" ht="18.75" customHeight="1">
      <c r="A11" s="193"/>
      <c r="B11" s="84" t="s">
        <v>29</v>
      </c>
      <c r="C11" s="114">
        <f>Valeur_de_point_V1</f>
        <v>7.15</v>
      </c>
      <c r="G11" s="209" t="s">
        <v>30</v>
      </c>
      <c r="H11" s="210"/>
      <c r="I11" s="211"/>
      <c r="J11" s="19"/>
      <c r="K11" s="85"/>
      <c r="L11" s="212" t="s">
        <v>31</v>
      </c>
      <c r="M11" s="213"/>
      <c r="N11" s="19"/>
      <c r="O11" s="19"/>
    </row>
    <row r="12" spans="1:16" ht="18.75" customHeight="1" thickBot="1">
      <c r="A12" s="193"/>
      <c r="B12" s="86" t="s">
        <v>32</v>
      </c>
      <c r="C12" s="115">
        <f>Valeur_de_point_V2</f>
        <v>6.73</v>
      </c>
      <c r="G12" s="87"/>
      <c r="H12" s="214"/>
      <c r="I12" s="215"/>
      <c r="J12" s="19"/>
      <c r="K12" s="88"/>
      <c r="L12" s="214"/>
      <c r="M12" s="216"/>
      <c r="N12" s="19"/>
      <c r="O12" s="19"/>
    </row>
    <row r="13" spans="1:16" ht="29.25" customHeight="1" thickBot="1">
      <c r="A13" s="193"/>
      <c r="B13" s="89" t="s">
        <v>33</v>
      </c>
      <c r="C13" s="116">
        <f>Paramètres!F5</f>
        <v>257</v>
      </c>
      <c r="D13" s="90" t="s">
        <v>34</v>
      </c>
      <c r="E13" s="91" t="s">
        <v>35</v>
      </c>
      <c r="F13" s="118">
        <f>C11</f>
        <v>7.15</v>
      </c>
      <c r="G13" s="119" t="s">
        <v>35</v>
      </c>
      <c r="H13" s="178">
        <f t="shared" ref="H13:H18" si="0">SUM($J$8)</f>
        <v>2.6923076923076925</v>
      </c>
      <c r="I13" s="121" t="s">
        <v>36</v>
      </c>
      <c r="J13" s="122">
        <v>35</v>
      </c>
      <c r="K13" s="123"/>
      <c r="L13" s="124">
        <f t="shared" ref="L13:L18" si="1">C13*F13*H13/J13</f>
        <v>141.35000000000002</v>
      </c>
      <c r="M13" s="95" t="s">
        <v>37</v>
      </c>
      <c r="O13" s="19"/>
    </row>
    <row r="14" spans="1:16" ht="32.1" customHeight="1" thickBot="1">
      <c r="A14" s="193"/>
      <c r="B14" s="96" t="s">
        <v>38</v>
      </c>
      <c r="C14" s="117">
        <f>H10-C13</f>
        <v>118</v>
      </c>
      <c r="D14" s="97" t="s">
        <v>39</v>
      </c>
      <c r="E14" s="98" t="s">
        <v>35</v>
      </c>
      <c r="F14" s="126">
        <f>C12</f>
        <v>6.73</v>
      </c>
      <c r="G14" s="119" t="s">
        <v>35</v>
      </c>
      <c r="H14" s="178">
        <f t="shared" si="0"/>
        <v>2.6923076923076925</v>
      </c>
      <c r="I14" s="121" t="s">
        <v>36</v>
      </c>
      <c r="J14" s="122">
        <v>35</v>
      </c>
      <c r="K14" s="127" t="s">
        <v>38</v>
      </c>
      <c r="L14" s="124">
        <f t="shared" si="1"/>
        <v>61.087692307692315</v>
      </c>
      <c r="M14" s="99" t="s">
        <v>40</v>
      </c>
    </row>
    <row r="15" spans="1:16" ht="32.1" customHeight="1" thickBot="1">
      <c r="A15" s="193"/>
      <c r="B15" s="100" t="s">
        <v>41</v>
      </c>
      <c r="C15" s="1">
        <v>0</v>
      </c>
      <c r="D15" s="101" t="s">
        <v>42</v>
      </c>
      <c r="E15" s="98" t="s">
        <v>35</v>
      </c>
      <c r="F15" s="126">
        <f>C12</f>
        <v>6.73</v>
      </c>
      <c r="G15" s="119" t="s">
        <v>35</v>
      </c>
      <c r="H15" s="178">
        <f t="shared" si="0"/>
        <v>2.6923076923076925</v>
      </c>
      <c r="I15" s="121" t="s">
        <v>36</v>
      </c>
      <c r="J15" s="122">
        <v>35</v>
      </c>
      <c r="K15" s="129" t="s">
        <v>38</v>
      </c>
      <c r="L15" s="124">
        <f t="shared" si="1"/>
        <v>0</v>
      </c>
      <c r="M15" s="99" t="s">
        <v>40</v>
      </c>
    </row>
    <row r="16" spans="1:16" ht="32.1" customHeight="1" thickBot="1">
      <c r="A16" s="194"/>
      <c r="B16" s="100" t="s">
        <v>43</v>
      </c>
      <c r="C16" s="2">
        <f>+(C6)*2</f>
        <v>0</v>
      </c>
      <c r="D16" s="101" t="s">
        <v>42</v>
      </c>
      <c r="E16" s="98" t="s">
        <v>35</v>
      </c>
      <c r="F16" s="126">
        <f>C11</f>
        <v>7.15</v>
      </c>
      <c r="G16" s="119" t="s">
        <v>35</v>
      </c>
      <c r="H16" s="178">
        <f t="shared" si="0"/>
        <v>2.6923076923076925</v>
      </c>
      <c r="I16" s="121" t="s">
        <v>36</v>
      </c>
      <c r="J16" s="122">
        <v>35</v>
      </c>
      <c r="K16" s="129" t="s">
        <v>38</v>
      </c>
      <c r="L16" s="124">
        <f t="shared" si="1"/>
        <v>0</v>
      </c>
      <c r="M16" s="99" t="s">
        <v>40</v>
      </c>
    </row>
    <row r="17" spans="1:14" ht="32.1" customHeight="1" thickBot="1">
      <c r="A17" s="25"/>
      <c r="B17" s="100" t="s">
        <v>45</v>
      </c>
      <c r="C17" s="1">
        <v>0</v>
      </c>
      <c r="D17" s="101" t="s">
        <v>42</v>
      </c>
      <c r="E17" s="98" t="s">
        <v>35</v>
      </c>
      <c r="F17" s="126">
        <f>C12</f>
        <v>6.73</v>
      </c>
      <c r="G17" s="119" t="s">
        <v>35</v>
      </c>
      <c r="H17" s="178">
        <f t="shared" si="0"/>
        <v>2.6923076923076925</v>
      </c>
      <c r="I17" s="121" t="s">
        <v>36</v>
      </c>
      <c r="J17" s="122">
        <v>35</v>
      </c>
      <c r="K17" s="129" t="s">
        <v>38</v>
      </c>
      <c r="L17" s="124">
        <f t="shared" si="1"/>
        <v>0</v>
      </c>
      <c r="M17" s="99" t="s">
        <v>40</v>
      </c>
    </row>
    <row r="18" spans="1:14" ht="32.1" customHeight="1" thickBot="1">
      <c r="A18" s="25"/>
      <c r="B18" s="100" t="s">
        <v>46</v>
      </c>
      <c r="C18" s="1">
        <v>0</v>
      </c>
      <c r="D18" s="101" t="s">
        <v>42</v>
      </c>
      <c r="E18" s="98" t="s">
        <v>35</v>
      </c>
      <c r="F18" s="126">
        <f>C12</f>
        <v>6.73</v>
      </c>
      <c r="G18" s="130" t="s">
        <v>35</v>
      </c>
      <c r="H18" s="178">
        <f t="shared" si="0"/>
        <v>2.6923076923076925</v>
      </c>
      <c r="I18" s="121" t="s">
        <v>36</v>
      </c>
      <c r="J18" s="122">
        <v>35</v>
      </c>
      <c r="K18" s="129" t="s">
        <v>38</v>
      </c>
      <c r="L18" s="124">
        <f t="shared" si="1"/>
        <v>0</v>
      </c>
      <c r="M18" s="99" t="s">
        <v>40</v>
      </c>
    </row>
    <row r="19" spans="1:14" ht="32.1" customHeight="1" thickBot="1">
      <c r="A19" s="26"/>
      <c r="B19" s="100" t="s">
        <v>48</v>
      </c>
      <c r="C19" s="1"/>
      <c r="D19" s="101"/>
      <c r="E19" s="98"/>
      <c r="F19" s="3"/>
      <c r="G19" s="174"/>
      <c r="H19" s="175"/>
      <c r="I19" s="103"/>
      <c r="J19" s="93"/>
      <c r="K19" s="106"/>
      <c r="L19" s="94">
        <f>C19</f>
        <v>0</v>
      </c>
      <c r="M19" s="108"/>
    </row>
    <row r="20" spans="1:14" ht="31.5" customHeight="1" thickBot="1">
      <c r="A20" s="26"/>
      <c r="B20" s="109" t="s">
        <v>49</v>
      </c>
      <c r="C20" s="1"/>
      <c r="D20" s="101" t="s">
        <v>42</v>
      </c>
      <c r="E20" s="98" t="s">
        <v>35</v>
      </c>
      <c r="F20" s="65">
        <f>C12</f>
        <v>6.73</v>
      </c>
      <c r="G20" s="110" t="s">
        <v>35</v>
      </c>
      <c r="H20" s="179">
        <f>SUM($J$8)</f>
        <v>2.6923076923076925</v>
      </c>
      <c r="I20" s="103" t="s">
        <v>36</v>
      </c>
      <c r="J20" s="93">
        <v>35</v>
      </c>
      <c r="K20" s="106" t="s">
        <v>38</v>
      </c>
      <c r="L20" s="94">
        <f>C20*F20*H20/J20</f>
        <v>0</v>
      </c>
      <c r="M20" s="108" t="s">
        <v>40</v>
      </c>
    </row>
    <row r="21" spans="1:14" ht="30" customHeight="1" thickBot="1">
      <c r="A21" s="26"/>
      <c r="B21" s="111" t="s">
        <v>50</v>
      </c>
      <c r="C21" s="189"/>
      <c r="D21" s="189"/>
      <c r="E21" s="189"/>
      <c r="F21" s="189"/>
      <c r="G21" s="190"/>
      <c r="H21" s="190"/>
      <c r="I21" s="190"/>
      <c r="J21" s="191"/>
      <c r="K21" s="112" t="s">
        <v>51</v>
      </c>
      <c r="L21" s="137">
        <f>SUM(L13:L20)</f>
        <v>202.43769230769234</v>
      </c>
      <c r="M21" s="113" t="s">
        <v>40</v>
      </c>
    </row>
    <row r="22" spans="1:14" ht="40.15" customHeight="1" thickTop="1">
      <c r="A22" s="27"/>
      <c r="B22" s="28"/>
      <c r="C22" s="29"/>
      <c r="D22" s="29"/>
      <c r="E22" s="29"/>
      <c r="F22" s="29"/>
      <c r="G22" s="29"/>
      <c r="H22" s="29"/>
      <c r="I22" s="29"/>
      <c r="J22" s="192" t="s">
        <v>134</v>
      </c>
      <c r="K22" s="192"/>
      <c r="L22" s="192"/>
      <c r="M22" s="192"/>
      <c r="N22" s="30"/>
    </row>
    <row r="24" spans="1:14">
      <c r="A24" s="31"/>
      <c r="B24" s="31"/>
      <c r="C24" s="32"/>
      <c r="D24" s="31"/>
      <c r="E24" s="31"/>
      <c r="F24" s="31"/>
      <c r="G24" s="31"/>
      <c r="H24" s="31"/>
    </row>
    <row r="25" spans="1:14">
      <c r="A25" s="33"/>
      <c r="B25" s="34" t="s">
        <v>53</v>
      </c>
      <c r="C25" s="7" t="s">
        <v>54</v>
      </c>
      <c r="D25" s="182" t="s">
        <v>55</v>
      </c>
      <c r="E25" s="183"/>
      <c r="F25" s="182" t="s">
        <v>56</v>
      </c>
      <c r="G25" s="183"/>
      <c r="H25" s="31"/>
    </row>
    <row r="26" spans="1:14">
      <c r="A26" s="31"/>
      <c r="B26" s="33"/>
      <c r="C26" s="32"/>
      <c r="D26" s="33" t="s">
        <v>57</v>
      </c>
      <c r="E26" s="33" t="s">
        <v>58</v>
      </c>
      <c r="F26" s="33" t="s">
        <v>57</v>
      </c>
      <c r="G26" s="33" t="s">
        <v>58</v>
      </c>
      <c r="H26" s="31"/>
    </row>
    <row r="27" spans="1:14">
      <c r="A27" s="31"/>
      <c r="B27" s="35" t="s">
        <v>59</v>
      </c>
      <c r="C27" s="138">
        <f>$D$65</f>
        <v>202.43769230769234</v>
      </c>
      <c r="D27" s="139">
        <f>IF(C3="OUI",Paramètres!C20,0)</f>
        <v>0</v>
      </c>
      <c r="E27" s="140">
        <f>D27*C27/100</f>
        <v>0</v>
      </c>
      <c r="F27" s="139">
        <f>IF($D$65&lt;(Smic_horaire*2.4721*J8*52/12),7,13)</f>
        <v>7</v>
      </c>
      <c r="G27" s="140">
        <f t="shared" ref="G27:G43" si="2">F27*C27/100</f>
        <v>14.170638461538465</v>
      </c>
      <c r="H27" s="31"/>
    </row>
    <row r="28" spans="1:14">
      <c r="A28" s="33"/>
      <c r="B28" s="35" t="s">
        <v>60</v>
      </c>
      <c r="C28" s="36">
        <f>$D$65</f>
        <v>202.43769230769234</v>
      </c>
      <c r="D28" s="5">
        <v>0.56999999999999995</v>
      </c>
      <c r="E28" s="6">
        <f>D28*C28/100</f>
        <v>1.1538948461538463</v>
      </c>
      <c r="F28" s="5">
        <v>0.56999999999999995</v>
      </c>
      <c r="G28" s="6">
        <f t="shared" si="2"/>
        <v>1.1538948461538463</v>
      </c>
      <c r="H28" s="31"/>
    </row>
    <row r="29" spans="1:14">
      <c r="A29" s="33"/>
      <c r="B29" s="35" t="s">
        <v>61</v>
      </c>
      <c r="C29" s="51">
        <f>PMSS</f>
        <v>3925</v>
      </c>
      <c r="D29" s="52">
        <f>0.97/2</f>
        <v>0.48499999999999999</v>
      </c>
      <c r="E29" s="53">
        <f t="shared" ref="E29:E37" si="3">D29*C29/100</f>
        <v>19.036249999999999</v>
      </c>
      <c r="F29" s="52">
        <f>0.97/2</f>
        <v>0.48499999999999999</v>
      </c>
      <c r="G29" s="53">
        <f t="shared" si="2"/>
        <v>19.036249999999999</v>
      </c>
      <c r="H29" s="31"/>
    </row>
    <row r="30" spans="1:14">
      <c r="A30" s="33"/>
      <c r="B30" s="35" t="s">
        <v>62</v>
      </c>
      <c r="C30" s="36">
        <f>$D$65</f>
        <v>202.43769230769234</v>
      </c>
      <c r="D30" s="5">
        <v>0</v>
      </c>
      <c r="E30" s="6">
        <f t="shared" si="3"/>
        <v>0</v>
      </c>
      <c r="F30" s="52">
        <v>1.3</v>
      </c>
      <c r="G30" s="6">
        <f t="shared" si="2"/>
        <v>2.6316900000000003</v>
      </c>
      <c r="H30" s="31"/>
    </row>
    <row r="31" spans="1:14">
      <c r="A31" s="33"/>
      <c r="B31" s="35" t="s">
        <v>63</v>
      </c>
      <c r="C31" s="138">
        <f>C71</f>
        <v>202.43769230769234</v>
      </c>
      <c r="D31" s="139">
        <v>6.9</v>
      </c>
      <c r="E31" s="140">
        <f t="shared" si="3"/>
        <v>13.968200769230773</v>
      </c>
      <c r="F31" s="139">
        <v>8.5500000000000007</v>
      </c>
      <c r="G31" s="140">
        <f t="shared" si="2"/>
        <v>17.308422692307698</v>
      </c>
      <c r="H31" s="31"/>
    </row>
    <row r="32" spans="1:14">
      <c r="A32" s="31"/>
      <c r="B32" s="35" t="s">
        <v>64</v>
      </c>
      <c r="C32" s="138">
        <f>$D$65</f>
        <v>202.43769230769234</v>
      </c>
      <c r="D32" s="139">
        <v>0.4</v>
      </c>
      <c r="E32" s="140">
        <f t="shared" si="3"/>
        <v>0.80975076923076938</v>
      </c>
      <c r="F32" s="139">
        <v>2.02</v>
      </c>
      <c r="G32" s="140">
        <f t="shared" si="2"/>
        <v>4.0892413846153852</v>
      </c>
      <c r="H32" s="31"/>
    </row>
    <row r="33" spans="1:13">
      <c r="A33" s="37"/>
      <c r="B33" s="35" t="s">
        <v>65</v>
      </c>
      <c r="C33" s="36">
        <f>C71</f>
        <v>202.43769230769234</v>
      </c>
      <c r="D33" s="52">
        <v>5.08</v>
      </c>
      <c r="E33" s="6">
        <f t="shared" si="3"/>
        <v>10.28383476923077</v>
      </c>
      <c r="F33" s="52">
        <v>5.08</v>
      </c>
      <c r="G33" s="6">
        <f t="shared" si="2"/>
        <v>10.28383476923077</v>
      </c>
      <c r="H33" s="31"/>
    </row>
    <row r="34" spans="1:13">
      <c r="A34" s="31"/>
      <c r="B34" s="35" t="s">
        <v>66</v>
      </c>
      <c r="C34" s="138">
        <f>MAX(C73,0)</f>
        <v>0</v>
      </c>
      <c r="D34" s="139">
        <v>8.64</v>
      </c>
      <c r="E34" s="140">
        <f t="shared" si="3"/>
        <v>0</v>
      </c>
      <c r="F34" s="139">
        <v>12.95</v>
      </c>
      <c r="G34" s="140">
        <f t="shared" si="2"/>
        <v>0</v>
      </c>
      <c r="H34" s="31"/>
    </row>
    <row r="35" spans="1:13">
      <c r="A35" s="33"/>
      <c r="B35" s="35" t="s">
        <v>67</v>
      </c>
      <c r="C35" s="138">
        <f>C71</f>
        <v>202.43769230769234</v>
      </c>
      <c r="D35" s="139">
        <v>0.86</v>
      </c>
      <c r="E35" s="140">
        <f t="shared" si="3"/>
        <v>1.7409641538461542</v>
      </c>
      <c r="F35" s="139">
        <v>1.29</v>
      </c>
      <c r="G35" s="140">
        <f t="shared" si="2"/>
        <v>2.6114462307692317</v>
      </c>
      <c r="H35" s="31"/>
    </row>
    <row r="36" spans="1:13">
      <c r="A36" s="31"/>
      <c r="B36" s="35" t="s">
        <v>68</v>
      </c>
      <c r="C36" s="138">
        <f>MAX(C73,0)</f>
        <v>0</v>
      </c>
      <c r="D36" s="139">
        <v>1.08</v>
      </c>
      <c r="E36" s="140">
        <f t="shared" si="3"/>
        <v>0</v>
      </c>
      <c r="F36" s="139">
        <v>1.62</v>
      </c>
      <c r="G36" s="140">
        <f t="shared" si="2"/>
        <v>0</v>
      </c>
      <c r="H36" s="31"/>
    </row>
    <row r="37" spans="1:13">
      <c r="A37" s="31"/>
      <c r="B37" s="35" t="s">
        <v>69</v>
      </c>
      <c r="C37" s="138">
        <f>IF(D65&lt;=C71,0,D65)</f>
        <v>0</v>
      </c>
      <c r="D37" s="139">
        <v>0.14000000000000001</v>
      </c>
      <c r="E37" s="140">
        <f t="shared" si="3"/>
        <v>0</v>
      </c>
      <c r="F37" s="139">
        <v>0.21</v>
      </c>
      <c r="G37" s="140">
        <f t="shared" si="2"/>
        <v>0</v>
      </c>
      <c r="H37" s="31"/>
    </row>
    <row r="38" spans="1:13">
      <c r="A38" s="33"/>
      <c r="B38" s="35" t="s">
        <v>70</v>
      </c>
      <c r="C38" s="180">
        <f>D65</f>
        <v>202.43769230769234</v>
      </c>
      <c r="D38" s="139"/>
      <c r="E38" s="140"/>
      <c r="F38" s="139">
        <f>IF($D$65&lt;(3.4609*Smic_horaire*J8*52/12),3.45,5.25)</f>
        <v>3.45</v>
      </c>
      <c r="G38" s="140">
        <f t="shared" si="2"/>
        <v>6.9841003846153864</v>
      </c>
      <c r="H38" s="31"/>
    </row>
    <row r="39" spans="1:13">
      <c r="A39" s="33"/>
      <c r="B39" s="35" t="s">
        <v>71</v>
      </c>
      <c r="C39" s="138">
        <f>C74</f>
        <v>202.43769230769234</v>
      </c>
      <c r="D39" s="139">
        <v>0</v>
      </c>
      <c r="E39" s="140"/>
      <c r="F39" s="139">
        <v>4.05</v>
      </c>
      <c r="G39" s="140">
        <f t="shared" si="2"/>
        <v>8.1987265384615391</v>
      </c>
      <c r="H39" s="31"/>
    </row>
    <row r="40" spans="1:13">
      <c r="A40" s="33"/>
      <c r="B40" s="35" t="s">
        <v>72</v>
      </c>
      <c r="C40" s="138">
        <f>C74</f>
        <v>202.43769230769234</v>
      </c>
      <c r="D40" s="139"/>
      <c r="E40" s="140"/>
      <c r="F40" s="139">
        <v>0.25</v>
      </c>
      <c r="G40" s="140">
        <f t="shared" si="2"/>
        <v>0.50609423076923088</v>
      </c>
      <c r="H40" s="31"/>
    </row>
    <row r="41" spans="1:13" ht="30" customHeight="1">
      <c r="A41" s="33"/>
      <c r="B41" s="60" t="s">
        <v>73</v>
      </c>
      <c r="C41" s="36">
        <f>IF(C2&lt;11,0,D65)</f>
        <v>0</v>
      </c>
      <c r="D41" s="5"/>
      <c r="E41" s="33"/>
      <c r="F41" s="52">
        <v>0</v>
      </c>
      <c r="G41" s="6">
        <f t="shared" si="2"/>
        <v>0</v>
      </c>
      <c r="H41" s="31"/>
    </row>
    <row r="42" spans="1:13">
      <c r="A42" s="33"/>
      <c r="B42" s="35" t="s">
        <v>74</v>
      </c>
      <c r="C42" s="138">
        <f>D65</f>
        <v>202.43769230769234</v>
      </c>
      <c r="D42" s="139"/>
      <c r="E42" s="181"/>
      <c r="F42" s="139">
        <v>0.3</v>
      </c>
      <c r="G42" s="140">
        <f t="shared" si="2"/>
        <v>0.60731307692307701</v>
      </c>
      <c r="H42" s="31"/>
    </row>
    <row r="43" spans="1:13">
      <c r="A43" s="33"/>
      <c r="B43" s="35" t="s">
        <v>75</v>
      </c>
      <c r="C43" s="138">
        <f>IF(C2&lt;50,C71,D65)</f>
        <v>202.43769230769234</v>
      </c>
      <c r="D43" s="139"/>
      <c r="E43" s="181"/>
      <c r="F43" s="139">
        <f>IF(C2&lt;50,0.1,0.5)</f>
        <v>0.1</v>
      </c>
      <c r="G43" s="140">
        <f t="shared" si="2"/>
        <v>0.20243769230769235</v>
      </c>
      <c r="H43" s="38"/>
    </row>
    <row r="44" spans="1:13">
      <c r="A44" s="33"/>
      <c r="B44" s="35" t="s">
        <v>76</v>
      </c>
      <c r="C44" s="138">
        <f>$D$65</f>
        <v>202.43769230769234</v>
      </c>
      <c r="D44" s="139"/>
      <c r="E44" s="140"/>
      <c r="F44" s="139">
        <v>1.6E-2</v>
      </c>
      <c r="G44" s="140">
        <f>F44*C44/100</f>
        <v>3.2390030769230777E-2</v>
      </c>
      <c r="H44" s="31"/>
    </row>
    <row r="45" spans="1:13">
      <c r="A45" s="33"/>
      <c r="B45" s="35" t="s">
        <v>77</v>
      </c>
      <c r="C45" s="138">
        <f>IF(C2&lt;11,0,(0.55%*C28+G29))</f>
        <v>0</v>
      </c>
      <c r="D45" s="139"/>
      <c r="E45" s="140"/>
      <c r="F45" s="139">
        <v>8</v>
      </c>
      <c r="G45" s="140">
        <f>F45*C45/100</f>
        <v>0</v>
      </c>
      <c r="H45" s="31"/>
    </row>
    <row r="46" spans="1:13" ht="20.25">
      <c r="A46" s="39"/>
      <c r="B46" s="35" t="s">
        <v>78</v>
      </c>
      <c r="C46" s="36">
        <f>$D$65</f>
        <v>202.43769230769234</v>
      </c>
      <c r="D46" s="5"/>
      <c r="E46" s="33"/>
      <c r="F46" s="5">
        <f>IF(C2&lt;11,0.55,1)</f>
        <v>0.55000000000000004</v>
      </c>
      <c r="G46" s="6">
        <f>F46*C46/100</f>
        <v>1.1134073076923081</v>
      </c>
      <c r="H46" s="31"/>
      <c r="J46" s="217" t="s">
        <v>79</v>
      </c>
      <c r="K46" s="217"/>
      <c r="L46" s="217"/>
      <c r="M46" s="217"/>
    </row>
    <row r="47" spans="1:13">
      <c r="A47" s="39"/>
      <c r="B47" s="35" t="s">
        <v>80</v>
      </c>
      <c r="C47" s="36">
        <f>$D$65</f>
        <v>202.43769230769234</v>
      </c>
      <c r="D47" s="5"/>
      <c r="E47" s="33"/>
      <c r="F47" s="5">
        <f>IF(C2&lt;11,1.55,1.1)</f>
        <v>1.55</v>
      </c>
      <c r="G47" s="6">
        <f>F47*C47/100</f>
        <v>3.1377842307692316</v>
      </c>
      <c r="H47" s="31"/>
      <c r="J47" s="218"/>
      <c r="K47" s="218"/>
      <c r="L47" s="218"/>
    </row>
    <row r="48" spans="1:13">
      <c r="A48" s="39"/>
      <c r="B48" s="35"/>
      <c r="C48" s="36"/>
      <c r="D48" s="5"/>
      <c r="E48" s="33"/>
      <c r="F48" s="5"/>
      <c r="G48" s="6"/>
      <c r="H48" s="31"/>
    </row>
    <row r="49" spans="1:13" ht="13.15" customHeight="1">
      <c r="A49" s="39"/>
      <c r="B49" s="35" t="s">
        <v>81</v>
      </c>
      <c r="C49" s="36">
        <f>$D$65</f>
        <v>202.43769230769234</v>
      </c>
      <c r="D49" s="5"/>
      <c r="E49" s="33"/>
      <c r="F49" s="5">
        <v>0.1</v>
      </c>
      <c r="G49" s="6">
        <f t="shared" ref="G49:G55" si="4">F49*C49/100</f>
        <v>0.20243769230769235</v>
      </c>
      <c r="H49" s="31"/>
      <c r="J49" s="186" t="s">
        <v>82</v>
      </c>
      <c r="K49" s="186"/>
      <c r="L49" s="186"/>
      <c r="M49" s="142">
        <f>(G53+G54+G55)</f>
        <v>9.459962358653847</v>
      </c>
    </row>
    <row r="50" spans="1:13" ht="24.6" customHeight="1">
      <c r="A50" s="33"/>
      <c r="B50" s="60" t="s">
        <v>83</v>
      </c>
      <c r="C50" s="36">
        <f>D65</f>
        <v>202.43769230769234</v>
      </c>
      <c r="D50" s="5"/>
      <c r="E50" s="6"/>
      <c r="F50" s="5">
        <f>IF(C2&lt;50,0,0.45)</f>
        <v>0</v>
      </c>
      <c r="G50" s="6">
        <f t="shared" si="4"/>
        <v>0</v>
      </c>
      <c r="H50" s="38"/>
      <c r="J50" s="186"/>
      <c r="K50" s="186"/>
      <c r="L50" s="186"/>
      <c r="M50" s="142"/>
    </row>
    <row r="51" spans="1:13" ht="13.15" customHeight="1">
      <c r="A51" s="39"/>
      <c r="B51" s="35" t="s">
        <v>84</v>
      </c>
      <c r="C51" s="36">
        <f>98.25%*$D$65+$C$28*0.55%+$G$29</f>
        <v>219.04469000000003</v>
      </c>
      <c r="D51" s="5">
        <v>6.8</v>
      </c>
      <c r="E51" s="6">
        <f>D51*C51/100</f>
        <v>14.895038920000001</v>
      </c>
      <c r="F51" s="5"/>
      <c r="G51" s="6"/>
      <c r="H51" s="31"/>
      <c r="J51" s="186"/>
      <c r="K51" s="186"/>
      <c r="L51" s="186"/>
      <c r="M51" s="141"/>
    </row>
    <row r="52" spans="1:13" ht="13.15" customHeight="1">
      <c r="A52" s="39"/>
      <c r="B52" s="35" t="s">
        <v>85</v>
      </c>
      <c r="C52" s="36">
        <f>98.25%*$D$65+$C$28*0.55%+$G$29</f>
        <v>219.04469000000003</v>
      </c>
      <c r="D52" s="5">
        <v>2.9</v>
      </c>
      <c r="E52" s="6">
        <f>D52*C52/100</f>
        <v>6.3522960100000008</v>
      </c>
      <c r="F52" s="5"/>
      <c r="G52" s="6"/>
      <c r="H52" s="31"/>
      <c r="J52" s="186" t="s">
        <v>86</v>
      </c>
      <c r="K52" s="186"/>
      <c r="L52" s="186"/>
      <c r="M52" s="142">
        <f>D65</f>
        <v>202.43769230769234</v>
      </c>
    </row>
    <row r="53" spans="1:13" ht="12.6" customHeight="1">
      <c r="A53" s="33"/>
      <c r="B53" s="40" t="s">
        <v>87</v>
      </c>
      <c r="C53" s="36">
        <f>$D$65+C28*0.55%+G29</f>
        <v>222.58734961538465</v>
      </c>
      <c r="D53" s="5"/>
      <c r="E53" s="6"/>
      <c r="F53" s="5">
        <v>4.25</v>
      </c>
      <c r="G53" s="6">
        <f t="shared" si="4"/>
        <v>9.459962358653847</v>
      </c>
      <c r="H53" s="31"/>
      <c r="J53" s="187" t="s">
        <v>88</v>
      </c>
      <c r="K53" s="187"/>
      <c r="L53" s="187"/>
      <c r="M53" s="188">
        <f>F65-M49</f>
        <v>81.945787261538499</v>
      </c>
    </row>
    <row r="54" spans="1:13" ht="13.15" customHeight="1">
      <c r="A54" s="33"/>
      <c r="B54" s="40" t="s">
        <v>89</v>
      </c>
      <c r="C54" s="36">
        <f>IF(C53&gt;=tranche_1_taxe_salaire,IF(C53&gt;=tranche_2_taxe_salaire,tranche_2_taxe_salaire-tranche_1_taxe_salaire,C53-tranche_1_taxe_salaire),0)</f>
        <v>0</v>
      </c>
      <c r="D54" s="5"/>
      <c r="E54" s="6"/>
      <c r="F54" s="5">
        <v>4.25</v>
      </c>
      <c r="G54" s="6">
        <f t="shared" si="4"/>
        <v>0</v>
      </c>
      <c r="H54" s="31"/>
      <c r="J54" s="187"/>
      <c r="K54" s="187"/>
      <c r="L54" s="187"/>
      <c r="M54" s="188"/>
    </row>
    <row r="55" spans="1:13" ht="13.15" customHeight="1">
      <c r="A55" s="33"/>
      <c r="B55" s="40" t="s">
        <v>90</v>
      </c>
      <c r="C55" s="36">
        <f>IF(C53&gt;tranche_2_taxe_salaire,C53-tranche_2_taxe_salaire,0)</f>
        <v>0</v>
      </c>
      <c r="D55" s="5"/>
      <c r="E55" s="6"/>
      <c r="F55" s="5">
        <v>9.35</v>
      </c>
      <c r="G55" s="6">
        <f t="shared" si="4"/>
        <v>0</v>
      </c>
      <c r="H55" s="31"/>
      <c r="J55" s="186" t="s">
        <v>91</v>
      </c>
      <c r="K55" s="186"/>
      <c r="L55" s="186"/>
      <c r="M55" s="142">
        <f>(E58+G59)</f>
        <v>0</v>
      </c>
    </row>
    <row r="56" spans="1:13" ht="13.15" customHeight="1">
      <c r="A56" s="33"/>
      <c r="B56" s="173" t="s">
        <v>92</v>
      </c>
      <c r="C56" s="159">
        <f>D65</f>
        <v>202.43769230769234</v>
      </c>
      <c r="D56" s="160"/>
      <c r="E56" s="161"/>
      <c r="F56" s="160">
        <f>IF(C2&lt;50,-C78,-C79)</f>
        <v>-5.0999999999999997E-2</v>
      </c>
      <c r="G56" s="161">
        <f>IF(F56&gt;0,0,C56*F56)</f>
        <v>-10.324322307692309</v>
      </c>
      <c r="H56" s="38"/>
      <c r="J56" s="186"/>
      <c r="K56" s="186"/>
      <c r="L56" s="186"/>
      <c r="M56" s="142"/>
    </row>
    <row r="57" spans="1:13" ht="15">
      <c r="A57" s="42"/>
      <c r="B57" s="63" t="s">
        <v>93</v>
      </c>
      <c r="C57" s="7"/>
      <c r="D57" s="12"/>
      <c r="E57" s="10">
        <f>SUM(E27:E56)</f>
        <v>68.240230237692316</v>
      </c>
      <c r="F57" s="9"/>
      <c r="G57" s="10">
        <f>SUM(G27:G56)</f>
        <v>91.405749620192353</v>
      </c>
      <c r="H57" s="44"/>
      <c r="J57" s="186"/>
      <c r="K57" s="186"/>
      <c r="L57" s="186"/>
      <c r="M57" s="142"/>
    </row>
    <row r="58" spans="1:13">
      <c r="A58" s="42"/>
      <c r="B58" s="12" t="s">
        <v>94</v>
      </c>
      <c r="C58" s="54">
        <v>0</v>
      </c>
      <c r="D58" s="8"/>
      <c r="E58" s="9">
        <f>IF(J8&lt;17.5,C58/2*J8/17.5,C58*50%)</f>
        <v>0</v>
      </c>
      <c r="F58" s="9"/>
      <c r="G58" s="10"/>
      <c r="H58" s="31"/>
      <c r="J58" s="184" t="s">
        <v>95</v>
      </c>
      <c r="K58" s="184"/>
      <c r="L58" s="184"/>
      <c r="M58" s="143">
        <f>SUM(M49:M57)</f>
        <v>293.84344192788467</v>
      </c>
    </row>
    <row r="59" spans="1:13">
      <c r="A59" s="42"/>
      <c r="B59" s="61" t="s">
        <v>96</v>
      </c>
      <c r="C59" s="62">
        <v>0</v>
      </c>
      <c r="D59" s="55">
        <v>0.4</v>
      </c>
      <c r="E59" s="11">
        <f>-C59*D59</f>
        <v>0</v>
      </c>
      <c r="F59" s="56">
        <v>0.6</v>
      </c>
      <c r="G59" s="12">
        <f>C59*F59</f>
        <v>0</v>
      </c>
      <c r="H59" s="31"/>
    </row>
    <row r="60" spans="1:13" ht="15">
      <c r="B60" s="63" t="s">
        <v>97</v>
      </c>
      <c r="C60" s="158">
        <f>D65-E57</f>
        <v>134.19746207000003</v>
      </c>
      <c r="D60" s="42"/>
      <c r="E60" s="42"/>
      <c r="F60" s="42"/>
      <c r="G60" s="42"/>
      <c r="H60" s="31"/>
    </row>
    <row r="61" spans="1:13" ht="15">
      <c r="B61" s="63" t="s">
        <v>98</v>
      </c>
      <c r="C61" s="158">
        <f>D65-E57+E52+G29</f>
        <v>159.58600808000003</v>
      </c>
      <c r="D61" s="42"/>
      <c r="E61" s="42"/>
      <c r="F61" s="42"/>
      <c r="G61" s="42"/>
      <c r="H61" s="31"/>
    </row>
    <row r="62" spans="1:13">
      <c r="B62" s="45"/>
      <c r="C62" s="46"/>
      <c r="D62" s="42"/>
      <c r="E62" s="42"/>
      <c r="F62" s="42"/>
      <c r="G62" s="42"/>
      <c r="H62" s="31"/>
    </row>
    <row r="63" spans="1:13">
      <c r="A63" s="42"/>
      <c r="C63" s="46"/>
      <c r="D63" s="42"/>
      <c r="E63" s="42"/>
      <c r="F63" s="42"/>
      <c r="G63" s="42"/>
      <c r="H63" s="31"/>
    </row>
    <row r="64" spans="1:13" ht="38.25">
      <c r="B64" s="47"/>
      <c r="C64" s="45" t="s">
        <v>99</v>
      </c>
      <c r="D64" s="144" t="s">
        <v>100</v>
      </c>
      <c r="E64" s="145" t="s">
        <v>101</v>
      </c>
      <c r="F64" s="146" t="s">
        <v>102</v>
      </c>
      <c r="G64" s="147" t="s">
        <v>103</v>
      </c>
      <c r="H64" s="31"/>
    </row>
    <row r="65" spans="1:8">
      <c r="A65" s="31"/>
      <c r="B65" s="47"/>
      <c r="C65" s="48"/>
      <c r="D65" s="148">
        <f>L21</f>
        <v>202.43769230769234</v>
      </c>
      <c r="E65" s="149">
        <f>D65-E57+E58+E59</f>
        <v>134.19746207000003</v>
      </c>
      <c r="F65" s="148">
        <f>G57</f>
        <v>91.405749620192353</v>
      </c>
      <c r="G65" s="149">
        <f>F65+D65+E58+G59</f>
        <v>293.84344192788467</v>
      </c>
      <c r="H65" s="31"/>
    </row>
    <row r="66" spans="1:8">
      <c r="A66" s="31"/>
      <c r="B66" s="31"/>
      <c r="C66" s="32"/>
      <c r="D66" s="31"/>
      <c r="E66" s="31"/>
      <c r="F66" s="31"/>
      <c r="G66" s="31"/>
      <c r="H66" s="31"/>
    </row>
    <row r="67" spans="1:8">
      <c r="A67" s="31"/>
      <c r="B67" s="31"/>
      <c r="C67" s="32"/>
      <c r="D67" s="31"/>
      <c r="E67" s="31"/>
      <c r="F67" s="31"/>
      <c r="G67" s="31"/>
      <c r="H67" s="31"/>
    </row>
    <row r="68" spans="1:8" ht="15.75">
      <c r="B68" s="150" t="s">
        <v>104</v>
      </c>
      <c r="C68" s="151"/>
      <c r="D68" s="31"/>
      <c r="E68" s="49"/>
      <c r="F68" s="31"/>
      <c r="G68" s="31"/>
      <c r="H68" s="31"/>
    </row>
    <row r="69" spans="1:8">
      <c r="B69" s="152" t="s">
        <v>3</v>
      </c>
      <c r="C69" s="153">
        <f>PMSS</f>
        <v>3925</v>
      </c>
      <c r="D69" s="31"/>
      <c r="E69" s="31"/>
      <c r="F69" s="31"/>
      <c r="G69" s="31"/>
      <c r="H69" s="31"/>
    </row>
    <row r="70" spans="1:8">
      <c r="B70" s="154" t="s">
        <v>105</v>
      </c>
      <c r="C70" s="155">
        <f>J8/35</f>
        <v>7.6923076923076927E-2</v>
      </c>
    </row>
    <row r="71" spans="1:8">
      <c r="B71" s="154" t="s">
        <v>106</v>
      </c>
      <c r="C71" s="155">
        <f>IF(D65&lt;=C69*C70,D65,C69*C70)</f>
        <v>202.43769230769234</v>
      </c>
    </row>
    <row r="72" spans="1:8">
      <c r="B72" s="154" t="s">
        <v>107</v>
      </c>
      <c r="C72" s="155">
        <f>IF(D65&lt;=C69*4*C70,D65-C69*C70,C69*4*C70)</f>
        <v>-99.485384615384618</v>
      </c>
    </row>
    <row r="73" spans="1:8">
      <c r="B73" s="154" t="s">
        <v>108</v>
      </c>
      <c r="C73" s="155">
        <f>IF(D65&lt;=C69*8*C70,D65-C69*C70,C69*8*C70)</f>
        <v>-99.485384615384618</v>
      </c>
    </row>
    <row r="74" spans="1:8">
      <c r="B74" s="154" t="s">
        <v>109</v>
      </c>
      <c r="C74" s="155">
        <f>IF(D65&lt;=C69*4*C70,D65,C69*5*C70)</f>
        <v>202.43769230769234</v>
      </c>
    </row>
    <row r="75" spans="1:8">
      <c r="B75" s="154" t="s">
        <v>110</v>
      </c>
      <c r="C75" s="155">
        <f>IF(D65&lt;=C69*8*C70,D65-C69*C70,C69*8*C70)</f>
        <v>-99.485384615384618</v>
      </c>
    </row>
    <row r="76" spans="1:8">
      <c r="B76" s="154" t="s">
        <v>111</v>
      </c>
      <c r="C76" s="155">
        <f>IF(D65&lt;=C69*8*C70,D65,C69*8*C70)</f>
        <v>202.43769230769234</v>
      </c>
    </row>
    <row r="77" spans="1:8">
      <c r="B77" s="154"/>
      <c r="C77" s="156"/>
    </row>
    <row r="78" spans="1:8">
      <c r="B78" s="154" t="s">
        <v>112</v>
      </c>
      <c r="C78" s="156">
        <f>ROUND(Paramètre_T_coef_fillon___50_ETP*((1.6*J9*Smic_horaire/D65)-1),3)</f>
        <v>5.0999999999999997E-2</v>
      </c>
    </row>
    <row r="79" spans="1:8">
      <c r="B79" s="154" t="s">
        <v>113</v>
      </c>
      <c r="C79" s="157">
        <f>ROUND(Paramètre_T_coeff_fillon_50_et*((1.6*J9*Smic_horaire/D65)-1),3)</f>
        <v>5.0999999999999997E-2</v>
      </c>
    </row>
  </sheetData>
  <sheetProtection sheet="1" objects="1" scenarios="1"/>
  <mergeCells count="29">
    <mergeCell ref="A1:A16"/>
    <mergeCell ref="B1:N1"/>
    <mergeCell ref="B4:M4"/>
    <mergeCell ref="B5:M5"/>
    <mergeCell ref="C7:E7"/>
    <mergeCell ref="J7:K7"/>
    <mergeCell ref="D10:E10"/>
    <mergeCell ref="H10:I10"/>
    <mergeCell ref="G11:I11"/>
    <mergeCell ref="L11:M11"/>
    <mergeCell ref="H12:I12"/>
    <mergeCell ref="L12:M12"/>
    <mergeCell ref="D9:E9"/>
    <mergeCell ref="C21:J21"/>
    <mergeCell ref="J22:M22"/>
    <mergeCell ref="D25:E25"/>
    <mergeCell ref="F25:G25"/>
    <mergeCell ref="J58:L58"/>
    <mergeCell ref="J46:M46"/>
    <mergeCell ref="J47:L47"/>
    <mergeCell ref="J49:L49"/>
    <mergeCell ref="J50:L50"/>
    <mergeCell ref="J51:L51"/>
    <mergeCell ref="J52:L52"/>
    <mergeCell ref="J53:L54"/>
    <mergeCell ref="M53:M54"/>
    <mergeCell ref="J55:L55"/>
    <mergeCell ref="J56:L56"/>
    <mergeCell ref="J57:L57"/>
  </mergeCells>
  <dataValidations count="3">
    <dataValidation type="list" allowBlank="1" showInputMessage="1" showErrorMessage="1" sqref="C6" xr:uid="{01F75EEC-1E5B-42B4-9ED1-E107B87D4CEC}">
      <formula1>"0,1,2,3,4,5,6,7,8,9,10,11,12,13,14,15,16,17,18,19,20,21,22,23,24,25,26,27,28,29,30"</formula1>
    </dataValidation>
    <dataValidation type="list" allowBlank="1" showInputMessage="1" showErrorMessage="1" sqref="C3" xr:uid="{A92F5DD7-D43B-484D-8F67-FBB90CA37BB1}">
      <formula1>"OUI,NON"</formula1>
    </dataValidation>
    <dataValidation type="list" allowBlank="1" showInputMessage="1" showErrorMessage="1" sqref="D9" xr:uid="{AB78D0B0-D893-4F1C-89FF-3AD06ED2B667}">
      <formula1>"Animateur technicien,Professeur"</formula1>
    </dataValidation>
  </dataValidations>
  <pageMargins left="0.70866141732283472" right="0.70866141732283472" top="0.74803149606299213" bottom="0.74803149606299213" header="0.31496062992125984" footer="0.31496062992125984"/>
  <pageSetup paperSize="9" scale="75" orientation="landscape" r:id="rId1"/>
  <colBreaks count="1" manualBreakCount="1">
    <brk id="14"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D9EE93D3E32D448E9A75BFFF8D7228" ma:contentTypeVersion="16" ma:contentTypeDescription="Crée un document." ma:contentTypeScope="" ma:versionID="2387ee75cdbcc701ae26a0dfce9f973e">
  <xsd:schema xmlns:xsd="http://www.w3.org/2001/XMLSchema" xmlns:xs="http://www.w3.org/2001/XMLSchema" xmlns:p="http://schemas.microsoft.com/office/2006/metadata/properties" xmlns:ns2="ec10aef6-c728-4d02-adf3-f20149e467d1" xmlns:ns3="58536939-c205-4c22-b278-70898dcc96bb" targetNamespace="http://schemas.microsoft.com/office/2006/metadata/properties" ma:root="true" ma:fieldsID="675409ba823b0c86d6dc17acb6c49f7c" ns2:_="" ns3:_="">
    <xsd:import namespace="ec10aef6-c728-4d02-adf3-f20149e467d1"/>
    <xsd:import namespace="58536939-c205-4c22-b278-70898dcc96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0aef6-c728-4d02-adf3-f20149e467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d871b9ed-a158-47b6-b569-f69fe8264d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536939-c205-4c22-b278-70898dcc96bb"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111d5cf5-ab09-44b3-9eb5-42f88d14d4ed}" ma:internalName="TaxCatchAll" ma:showField="CatchAllData" ma:web="58536939-c205-4c22-b278-70898dcc96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8536939-c205-4c22-b278-70898dcc96bb" xsi:nil="true"/>
    <lcf76f155ced4ddcb4097134ff3c332f xmlns="ec10aef6-c728-4d02-adf3-f20149e467d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70C78A-4889-4A36-9B75-7493F892FB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0aef6-c728-4d02-adf3-f20149e467d1"/>
    <ds:schemaRef ds:uri="58536939-c205-4c22-b278-70898dcc9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D619A9-3804-49E9-A986-45E43FFA6DE0}">
  <ds:schemaRefs>
    <ds:schemaRef ds:uri="http://schemas.microsoft.com/office/2006/metadata/properties"/>
    <ds:schemaRef ds:uri="http://schemas.microsoft.com/office/infopath/2007/PartnerControls"/>
    <ds:schemaRef ds:uri="58536939-c205-4c22-b278-70898dcc96bb"/>
    <ds:schemaRef ds:uri="ec10aef6-c728-4d02-adf3-f20149e467d1"/>
  </ds:schemaRefs>
</ds:datastoreItem>
</file>

<file path=customXml/itemProps3.xml><?xml version="1.0" encoding="utf-8"?>
<ds:datastoreItem xmlns:ds="http://schemas.openxmlformats.org/officeDocument/2006/customXml" ds:itemID="{90E1ABCA-DEC8-453A-A7BE-0E4EBF337A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14</vt:i4>
      </vt:variant>
    </vt:vector>
  </HeadingPairs>
  <TitlesOfParts>
    <vt:vector size="21" baseType="lpstr">
      <vt:lpstr>Paramètres</vt:lpstr>
      <vt:lpstr>Non Cadre Tps plein Tps partiel</vt:lpstr>
      <vt:lpstr>Cadre en heures</vt:lpstr>
      <vt:lpstr>Cadre Forfait jours Tps Plein</vt:lpstr>
      <vt:lpstr>Cadre Forfait jours Réduit</vt:lpstr>
      <vt:lpstr>CDI Intermittent</vt:lpstr>
      <vt:lpstr>ATPROF</vt:lpstr>
      <vt:lpstr>Paramètre_T_coef_fillon___50_ETP</vt:lpstr>
      <vt:lpstr>Paramètre_T_coeff_fillon_50_et</vt:lpstr>
      <vt:lpstr>PMSS</vt:lpstr>
      <vt:lpstr>Smic_horaire</vt:lpstr>
      <vt:lpstr>tranche_1_taxe_salaire</vt:lpstr>
      <vt:lpstr>tranche_2_taxe_salaire</vt:lpstr>
      <vt:lpstr>Valeur_de_point_V1</vt:lpstr>
      <vt:lpstr>Valeur_de_point_V2</vt:lpstr>
      <vt:lpstr>ATPROF!Zone_d_impression</vt:lpstr>
      <vt:lpstr>'Cadre en heures'!Zone_d_impression</vt:lpstr>
      <vt:lpstr>'Cadre Forfait jours Réduit'!Zone_d_impression</vt:lpstr>
      <vt:lpstr>'Cadre Forfait jours Tps Plein'!Zone_d_impression</vt:lpstr>
      <vt:lpstr>'CDI Intermittent'!Zone_d_impression</vt:lpstr>
      <vt:lpstr>'Non Cadre Tps plein Tps partiel'!Zone_d_impression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Hexopée</dc:creator>
  <cp:keywords/>
  <dc:description/>
  <cp:lastModifiedBy>Xavier DENAIFFE</cp:lastModifiedBy>
  <cp:revision/>
  <dcterms:created xsi:type="dcterms:W3CDTF">2023-04-21T16:38:57Z</dcterms:created>
  <dcterms:modified xsi:type="dcterms:W3CDTF">2025-02-17T16:23:31Z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0x010100DFD9EE93D3E32D448E9A75BFFF8D7228</vt:lpwstr>
  </property>
  <property fmtid="{D5CDD505-2E9C-101B-9397-08002B2CF9AE}" pid="3" name="MediaServiceImageTags">
    <vt:lpwstr/>
  </property>
</Properties>
</file>